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1950" yWindow="5010" windowWidth="20730" windowHeight="7320" tabRatio="771"/>
  </bookViews>
  <sheets>
    <sheet name="Sisukord" sheetId="5" r:id="rId1"/>
    <sheet name="1" sheetId="23" r:id="rId2"/>
    <sheet name="2" sheetId="18" r:id="rId3"/>
    <sheet name="3" sheetId="28" r:id="rId4"/>
    <sheet name="4" sheetId="9" r:id="rId5"/>
    <sheet name="5" sheetId="12" r:id="rId6"/>
    <sheet name="6" sheetId="24" r:id="rId7"/>
    <sheet name="7" sheetId="16" r:id="rId8"/>
    <sheet name="8" sheetId="21" r:id="rId9"/>
    <sheet name="9" sheetId="26" r:id="rId10"/>
    <sheet name="10" sheetId="17" r:id="rId11"/>
    <sheet name="11" sheetId="13" r:id="rId12"/>
    <sheet name="12" sheetId="14" r:id="rId13"/>
    <sheet name="13" sheetId="27" r:id="rId14"/>
    <sheet name="14" sheetId="32" r:id="rId15"/>
    <sheet name="15" sheetId="29" r:id="rId16"/>
    <sheet name="16" sheetId="11" r:id="rId17"/>
    <sheet name="17" sheetId="10" r:id="rId18"/>
    <sheet name="18" sheetId="8" r:id="rId19"/>
    <sheet name="19" sheetId="31" r:id="rId20"/>
    <sheet name="20" sheetId="22" r:id="rId21"/>
    <sheet name="21" sheetId="20" r:id="rId22"/>
    <sheet name="22" sheetId="33" r:id="rId23"/>
    <sheet name="23" sheetId="30" r:id="rId24"/>
    <sheet name="24" sheetId="15" r:id="rId25"/>
    <sheet name="25" sheetId="6" r:id="rId26"/>
    <sheet name="26" sheetId="19" r:id="rId27"/>
    <sheet name="27" sheetId="1" r:id="rId28"/>
    <sheet name="28" sheetId="4" r:id="rId29"/>
    <sheet name="29" sheetId="25" r:id="rId30"/>
    <sheet name="30" sheetId="7" r:id="rId31"/>
  </sheets>
  <definedNames>
    <definedName name="Prindiala" localSheetId="16">'16'!$A$1:$R$150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41" i="33" l="1"/>
  <c r="Q141" i="33"/>
  <c r="P141" i="33"/>
  <c r="O141" i="33"/>
  <c r="N141" i="33"/>
  <c r="M141" i="33"/>
  <c r="L141" i="33"/>
  <c r="K141" i="33"/>
  <c r="J141" i="33"/>
  <c r="I141" i="33"/>
  <c r="H141" i="33"/>
  <c r="R140" i="33"/>
  <c r="Q140" i="33"/>
  <c r="P140" i="33"/>
  <c r="O140" i="33"/>
  <c r="N140" i="33"/>
  <c r="M140" i="33"/>
  <c r="L140" i="33"/>
  <c r="K140" i="33"/>
  <c r="J140" i="33"/>
  <c r="I140" i="33"/>
  <c r="H140" i="33"/>
  <c r="J139" i="33"/>
  <c r="P137" i="33"/>
  <c r="L137" i="33"/>
  <c r="Q133" i="33"/>
  <c r="M133" i="33"/>
  <c r="Q130" i="33"/>
  <c r="P130" i="33"/>
  <c r="O130" i="33"/>
  <c r="N130" i="33"/>
  <c r="M130" i="33"/>
  <c r="L130" i="33"/>
  <c r="K130" i="33"/>
  <c r="J130" i="33"/>
  <c r="I130" i="33"/>
  <c r="H130" i="33"/>
  <c r="Q129" i="33"/>
  <c r="P129" i="33"/>
  <c r="O129" i="33"/>
  <c r="N129" i="33"/>
  <c r="M129" i="33"/>
  <c r="L129" i="33"/>
  <c r="K129" i="33"/>
  <c r="J129" i="33"/>
  <c r="I129" i="33"/>
  <c r="H129" i="33"/>
  <c r="O128" i="33"/>
  <c r="J118" i="33"/>
  <c r="P117" i="33"/>
  <c r="P116" i="33"/>
  <c r="K116" i="33"/>
  <c r="E114" i="33"/>
  <c r="O113" i="33"/>
  <c r="R111" i="33"/>
  <c r="Q111" i="33"/>
  <c r="P111" i="33"/>
  <c r="O111" i="33"/>
  <c r="N111" i="33"/>
  <c r="M111" i="33"/>
  <c r="L111" i="33"/>
  <c r="K111" i="33"/>
  <c r="J111" i="33"/>
  <c r="I111" i="33"/>
  <c r="H111" i="33"/>
  <c r="P104" i="33"/>
  <c r="L104" i="33"/>
  <c r="K104" i="33"/>
  <c r="H104" i="33"/>
  <c r="P103" i="33"/>
  <c r="O103" i="33"/>
  <c r="L103" i="33"/>
  <c r="K103" i="33"/>
  <c r="H103" i="33"/>
  <c r="R101" i="33"/>
  <c r="Q101" i="33"/>
  <c r="P101" i="33"/>
  <c r="O101" i="33"/>
  <c r="N101" i="33"/>
  <c r="M101" i="33"/>
  <c r="L101" i="33"/>
  <c r="K101" i="33"/>
  <c r="J101" i="33"/>
  <c r="I101" i="33"/>
  <c r="H101" i="33"/>
  <c r="J98" i="33"/>
  <c r="R97" i="33"/>
  <c r="Q97" i="33"/>
  <c r="Q98" i="33" s="1"/>
  <c r="P97" i="33"/>
  <c r="P98" i="33" s="1"/>
  <c r="P99" i="33" s="1"/>
  <c r="L97" i="33"/>
  <c r="J97" i="33"/>
  <c r="Q96" i="33"/>
  <c r="P96" i="33"/>
  <c r="O96" i="33"/>
  <c r="N96" i="33"/>
  <c r="M96" i="33"/>
  <c r="L96" i="33"/>
  <c r="K96" i="33"/>
  <c r="J96" i="33"/>
  <c r="I96" i="33"/>
  <c r="H96" i="33"/>
  <c r="Q94" i="33"/>
  <c r="P94" i="33"/>
  <c r="O94" i="33"/>
  <c r="M94" i="33"/>
  <c r="L94" i="33"/>
  <c r="K94" i="33"/>
  <c r="J94" i="33"/>
  <c r="I94" i="33"/>
  <c r="H94" i="33"/>
  <c r="H87" i="33"/>
  <c r="H95" i="33" s="1"/>
  <c r="R85" i="33"/>
  <c r="Q85" i="33"/>
  <c r="P85" i="33"/>
  <c r="O85" i="33"/>
  <c r="N85" i="33"/>
  <c r="M85" i="33"/>
  <c r="L85" i="33"/>
  <c r="K85" i="33"/>
  <c r="J85" i="33"/>
  <c r="I85" i="33"/>
  <c r="H85" i="33"/>
  <c r="R71" i="33"/>
  <c r="Q71" i="33"/>
  <c r="P71" i="33"/>
  <c r="O71" i="33"/>
  <c r="N71" i="33"/>
  <c r="M71" i="33"/>
  <c r="L71" i="33"/>
  <c r="K71" i="33"/>
  <c r="J71" i="33"/>
  <c r="I71" i="33"/>
  <c r="H71" i="33"/>
  <c r="H57" i="33"/>
  <c r="H73" i="33" s="1"/>
  <c r="J46" i="33"/>
  <c r="R44" i="33"/>
  <c r="N44" i="33"/>
  <c r="R43" i="33"/>
  <c r="N43" i="33"/>
  <c r="R42" i="33"/>
  <c r="R41" i="33" s="1"/>
  <c r="R132" i="33" s="1"/>
  <c r="N42" i="33"/>
  <c r="N41" i="33" s="1"/>
  <c r="N132" i="33" s="1"/>
  <c r="Q41" i="33"/>
  <c r="P41" i="33"/>
  <c r="P132" i="33" s="1"/>
  <c r="O41" i="33"/>
  <c r="O132" i="33" s="1"/>
  <c r="M41" i="33"/>
  <c r="M105" i="33" s="1"/>
  <c r="L41" i="33"/>
  <c r="L132" i="33" s="1"/>
  <c r="K41" i="33"/>
  <c r="K132" i="33" s="1"/>
  <c r="J41" i="33"/>
  <c r="J132" i="33" s="1"/>
  <c r="I41" i="33"/>
  <c r="I105" i="33" s="1"/>
  <c r="H41" i="33"/>
  <c r="H132" i="33" s="1"/>
  <c r="R38" i="33"/>
  <c r="Q38" i="33"/>
  <c r="P38" i="33"/>
  <c r="P91" i="33" s="1"/>
  <c r="O38" i="33"/>
  <c r="N38" i="33"/>
  <c r="M38" i="33"/>
  <c r="L38" i="33"/>
  <c r="L105" i="33" s="1"/>
  <c r="K38" i="33"/>
  <c r="K118" i="33" s="1"/>
  <c r="J38" i="33"/>
  <c r="I38" i="33"/>
  <c r="I133" i="33" s="1"/>
  <c r="H38" i="33"/>
  <c r="H91" i="33" s="1"/>
  <c r="R37" i="33"/>
  <c r="R33" i="33" s="1"/>
  <c r="R36" i="33"/>
  <c r="R35" i="33"/>
  <c r="Q33" i="33"/>
  <c r="P33" i="33"/>
  <c r="O33" i="33"/>
  <c r="N33" i="33"/>
  <c r="N91" i="33" s="1"/>
  <c r="M33" i="33"/>
  <c r="M89" i="33" s="1"/>
  <c r="L33" i="33"/>
  <c r="K33" i="33"/>
  <c r="J33" i="33"/>
  <c r="I33" i="33"/>
  <c r="H33" i="33"/>
  <c r="I32" i="33"/>
  <c r="R29" i="33"/>
  <c r="R94" i="33" s="1"/>
  <c r="N29" i="33"/>
  <c r="N94" i="33" s="1"/>
  <c r="R28" i="33"/>
  <c r="R27" i="33" s="1"/>
  <c r="N28" i="33"/>
  <c r="Q27" i="33"/>
  <c r="P27" i="33"/>
  <c r="O27" i="33"/>
  <c r="M27" i="33"/>
  <c r="M142" i="33" s="1"/>
  <c r="L27" i="33"/>
  <c r="K27" i="33"/>
  <c r="J27" i="33"/>
  <c r="I27" i="33"/>
  <c r="I108" i="33" s="1"/>
  <c r="H27" i="33"/>
  <c r="H108" i="33" s="1"/>
  <c r="R21" i="33"/>
  <c r="N21" i="33"/>
  <c r="N19" i="33" s="1"/>
  <c r="I21" i="33"/>
  <c r="H21" i="33"/>
  <c r="H19" i="33" s="1"/>
  <c r="R19" i="33"/>
  <c r="R139" i="33" s="1"/>
  <c r="Q19" i="33"/>
  <c r="P19" i="33"/>
  <c r="P139" i="33" s="1"/>
  <c r="O19" i="33"/>
  <c r="M19" i="33"/>
  <c r="M97" i="33" s="1"/>
  <c r="M98" i="33" s="1"/>
  <c r="L19" i="33"/>
  <c r="L139" i="33" s="1"/>
  <c r="K19" i="33"/>
  <c r="J19" i="33"/>
  <c r="I19" i="33"/>
  <c r="P18" i="33"/>
  <c r="O18" i="33"/>
  <c r="K18" i="33"/>
  <c r="J18" i="33"/>
  <c r="N14" i="33"/>
  <c r="N10" i="33" s="1"/>
  <c r="R13" i="33"/>
  <c r="R10" i="33" s="1"/>
  <c r="N13" i="33"/>
  <c r="Q10" i="33"/>
  <c r="P10" i="33"/>
  <c r="O10" i="33"/>
  <c r="O138" i="33" s="1"/>
  <c r="M10" i="33"/>
  <c r="L10" i="33"/>
  <c r="L138" i="33" s="1"/>
  <c r="K10" i="33"/>
  <c r="K138" i="33" s="1"/>
  <c r="J10" i="33"/>
  <c r="I10" i="33"/>
  <c r="H10" i="33"/>
  <c r="H138" i="33" s="1"/>
  <c r="R7" i="33"/>
  <c r="R6" i="33"/>
  <c r="R5" i="33"/>
  <c r="Q5" i="33"/>
  <c r="P5" i="33"/>
  <c r="O5" i="33"/>
  <c r="N5" i="33"/>
  <c r="N103" i="33" s="1"/>
  <c r="M5" i="33"/>
  <c r="M4" i="33" s="1"/>
  <c r="L5" i="33"/>
  <c r="K5" i="33"/>
  <c r="J5" i="33"/>
  <c r="I5" i="33"/>
  <c r="H5" i="33"/>
  <c r="H137" i="33" s="1"/>
  <c r="P4" i="33"/>
  <c r="J4" i="33"/>
  <c r="I4" i="33"/>
  <c r="I136" i="33" s="1"/>
  <c r="N138" i="33" l="1"/>
  <c r="N4" i="33"/>
  <c r="N110" i="33" s="1"/>
  <c r="R142" i="33"/>
  <c r="R18" i="33"/>
  <c r="R108" i="33"/>
  <c r="R128" i="33"/>
  <c r="R46" i="33"/>
  <c r="R113" i="33"/>
  <c r="R91" i="33"/>
  <c r="R89" i="33"/>
  <c r="M136" i="33"/>
  <c r="M107" i="33"/>
  <c r="M100" i="33"/>
  <c r="M99" i="33"/>
  <c r="M102" i="33"/>
  <c r="M90" i="33"/>
  <c r="H139" i="33"/>
  <c r="H97" i="33"/>
  <c r="H98" i="33" s="1"/>
  <c r="H18" i="33"/>
  <c r="Q99" i="33"/>
  <c r="R138" i="33"/>
  <c r="J107" i="33"/>
  <c r="J136" i="33"/>
  <c r="L142" i="33"/>
  <c r="L108" i="33"/>
  <c r="J137" i="33"/>
  <c r="J104" i="33"/>
  <c r="R137" i="33"/>
  <c r="R104" i="33"/>
  <c r="M110" i="33"/>
  <c r="M138" i="33"/>
  <c r="L18" i="33"/>
  <c r="K139" i="33"/>
  <c r="K97" i="33"/>
  <c r="K98" i="33" s="1"/>
  <c r="L46" i="33"/>
  <c r="L89" i="33"/>
  <c r="L98" i="33"/>
  <c r="N112" i="33"/>
  <c r="N113" i="33"/>
  <c r="K125" i="33"/>
  <c r="K121" i="33"/>
  <c r="K124" i="33"/>
  <c r="K123" i="33"/>
  <c r="K122" i="33"/>
  <c r="H4" i="33"/>
  <c r="H110" i="33" s="1"/>
  <c r="R4" i="33"/>
  <c r="R110" i="33" s="1"/>
  <c r="K137" i="33"/>
  <c r="K4" i="33"/>
  <c r="O137" i="33"/>
  <c r="O4" i="33"/>
  <c r="R105" i="33"/>
  <c r="R96" i="33"/>
  <c r="R98" i="33" s="1"/>
  <c r="J138" i="33"/>
  <c r="J110" i="33"/>
  <c r="Q139" i="33"/>
  <c r="Q18" i="33"/>
  <c r="N139" i="33"/>
  <c r="N97" i="33"/>
  <c r="N98" i="33" s="1"/>
  <c r="J108" i="33"/>
  <c r="J142" i="33"/>
  <c r="J114" i="33"/>
  <c r="N27" i="33"/>
  <c r="H113" i="33"/>
  <c r="H128" i="33"/>
  <c r="H117" i="33"/>
  <c r="H116" i="33"/>
  <c r="L113" i="33"/>
  <c r="L128" i="33"/>
  <c r="P113" i="33"/>
  <c r="P128" i="33"/>
  <c r="P112" i="33"/>
  <c r="R117" i="33"/>
  <c r="R130" i="33"/>
  <c r="J133" i="33"/>
  <c r="J105" i="33"/>
  <c r="J131" i="33"/>
  <c r="N133" i="33"/>
  <c r="N131" i="33"/>
  <c r="N118" i="33"/>
  <c r="N105" i="33"/>
  <c r="R133" i="33"/>
  <c r="R131" i="33"/>
  <c r="R118" i="33"/>
  <c r="H46" i="33"/>
  <c r="N46" i="33"/>
  <c r="H109" i="33"/>
  <c r="H115" i="33" s="1"/>
  <c r="H119" i="33" s="1"/>
  <c r="H127" i="33" s="1"/>
  <c r="H106" i="33"/>
  <c r="H89" i="33"/>
  <c r="L91" i="33"/>
  <c r="R103" i="33"/>
  <c r="O104" i="33"/>
  <c r="H112" i="33"/>
  <c r="M114" i="33"/>
  <c r="L116" i="33"/>
  <c r="L117" i="33"/>
  <c r="K120" i="33"/>
  <c r="I139" i="33"/>
  <c r="I18" i="33"/>
  <c r="M139" i="33"/>
  <c r="M18" i="33"/>
  <c r="M31" i="33" s="1"/>
  <c r="I31" i="33"/>
  <c r="I87" i="33"/>
  <c r="I95" i="33" s="1"/>
  <c r="I57" i="33"/>
  <c r="I73" i="33" s="1"/>
  <c r="J32" i="33"/>
  <c r="I128" i="33"/>
  <c r="I117" i="33"/>
  <c r="I116" i="33"/>
  <c r="I91" i="33"/>
  <c r="I46" i="33"/>
  <c r="M128" i="33"/>
  <c r="M117" i="33"/>
  <c r="M116" i="33"/>
  <c r="M91" i="33"/>
  <c r="M46" i="33"/>
  <c r="Q128" i="33"/>
  <c r="Q113" i="33"/>
  <c r="Q91" i="33"/>
  <c r="Q46" i="33"/>
  <c r="K133" i="33"/>
  <c r="K131" i="33"/>
  <c r="K105" i="33"/>
  <c r="O133" i="33"/>
  <c r="O131" i="33"/>
  <c r="O105" i="33"/>
  <c r="Q132" i="33"/>
  <c r="Q131" i="33"/>
  <c r="J134" i="33"/>
  <c r="J92" i="33"/>
  <c r="J88" i="33"/>
  <c r="J48" i="33"/>
  <c r="J51" i="33" s="1"/>
  <c r="O46" i="33"/>
  <c r="I89" i="33"/>
  <c r="N89" i="33"/>
  <c r="I97" i="33"/>
  <c r="I98" i="33" s="1"/>
  <c r="J100" i="33"/>
  <c r="I107" i="33"/>
  <c r="I112" i="33"/>
  <c r="I113" i="33"/>
  <c r="P122" i="33"/>
  <c r="P125" i="33"/>
  <c r="P124" i="33"/>
  <c r="P123" i="33"/>
  <c r="O118" i="33"/>
  <c r="P136" i="33"/>
  <c r="P31" i="33"/>
  <c r="P107" i="33"/>
  <c r="M104" i="33"/>
  <c r="M137" i="33"/>
  <c r="M103" i="33"/>
  <c r="Q137" i="33"/>
  <c r="Q103" i="33"/>
  <c r="Q104" i="33"/>
  <c r="P138" i="33"/>
  <c r="P110" i="33"/>
  <c r="O139" i="33"/>
  <c r="O97" i="33"/>
  <c r="O98" i="33" s="1"/>
  <c r="P114" i="33"/>
  <c r="P142" i="33"/>
  <c r="P108" i="33"/>
  <c r="J31" i="33"/>
  <c r="J116" i="33"/>
  <c r="J128" i="33"/>
  <c r="J113" i="33"/>
  <c r="J112" i="33"/>
  <c r="N116" i="33"/>
  <c r="N128" i="33"/>
  <c r="N117" i="33"/>
  <c r="H131" i="33"/>
  <c r="H118" i="33"/>
  <c r="H133" i="33"/>
  <c r="L131" i="33"/>
  <c r="L118" i="33"/>
  <c r="L133" i="33"/>
  <c r="P131" i="33"/>
  <c r="P118" i="33"/>
  <c r="P133" i="33"/>
  <c r="I132" i="33"/>
  <c r="I131" i="33"/>
  <c r="M132" i="33"/>
  <c r="M131" i="33"/>
  <c r="M118" i="33"/>
  <c r="K46" i="33"/>
  <c r="P46" i="33"/>
  <c r="J89" i="33"/>
  <c r="P89" i="33"/>
  <c r="J91" i="33"/>
  <c r="O91" i="33"/>
  <c r="J99" i="33"/>
  <c r="J103" i="33"/>
  <c r="H105" i="33"/>
  <c r="P105" i="33"/>
  <c r="M108" i="33"/>
  <c r="M112" i="33"/>
  <c r="M113" i="33"/>
  <c r="Q116" i="33"/>
  <c r="Q117" i="33"/>
  <c r="Q118" i="33"/>
  <c r="P120" i="33"/>
  <c r="P121" i="33"/>
  <c r="I137" i="33"/>
  <c r="I103" i="33"/>
  <c r="I104" i="33"/>
  <c r="H142" i="33"/>
  <c r="L4" i="33"/>
  <c r="L112" i="33" s="1"/>
  <c r="Q4" i="33"/>
  <c r="Q114" i="33" s="1"/>
  <c r="N137" i="33"/>
  <c r="N104" i="33"/>
  <c r="I110" i="33"/>
  <c r="I138" i="33"/>
  <c r="Q138" i="33"/>
  <c r="I142" i="33"/>
  <c r="I114" i="33"/>
  <c r="Q142" i="33"/>
  <c r="Q108" i="33"/>
  <c r="Q89" i="33"/>
  <c r="K91" i="33"/>
  <c r="J93" i="33"/>
  <c r="Q105" i="33"/>
  <c r="J117" i="33"/>
  <c r="K142" i="33"/>
  <c r="K108" i="33"/>
  <c r="O142" i="33"/>
  <c r="O108" i="33"/>
  <c r="K117" i="33"/>
  <c r="O117" i="33"/>
  <c r="O112" i="33"/>
  <c r="R129" i="33"/>
  <c r="R116" i="33"/>
  <c r="K89" i="33"/>
  <c r="O89" i="33"/>
  <c r="K110" i="33"/>
  <c r="K113" i="33"/>
  <c r="O114" i="33"/>
  <c r="O116" i="33"/>
  <c r="I118" i="33"/>
  <c r="K128" i="33"/>
  <c r="R141" i="32"/>
  <c r="Q141" i="32"/>
  <c r="P141" i="32"/>
  <c r="O141" i="32"/>
  <c r="N141" i="32"/>
  <c r="M141" i="32"/>
  <c r="K141" i="32"/>
  <c r="J141" i="32"/>
  <c r="I141" i="32"/>
  <c r="H141" i="32"/>
  <c r="R140" i="32"/>
  <c r="Q140" i="32"/>
  <c r="P140" i="32"/>
  <c r="O140" i="32"/>
  <c r="N140" i="32"/>
  <c r="M140" i="32"/>
  <c r="L140" i="32"/>
  <c r="K140" i="32"/>
  <c r="J140" i="32"/>
  <c r="I140" i="32"/>
  <c r="H140" i="32"/>
  <c r="R130" i="32"/>
  <c r="Q130" i="32"/>
  <c r="P130" i="32"/>
  <c r="O130" i="32"/>
  <c r="N130" i="32"/>
  <c r="M130" i="32"/>
  <c r="L130" i="32"/>
  <c r="K130" i="32"/>
  <c r="J130" i="32"/>
  <c r="I130" i="32"/>
  <c r="H130" i="32"/>
  <c r="R129" i="32"/>
  <c r="Q129" i="32"/>
  <c r="P129" i="32"/>
  <c r="O129" i="32"/>
  <c r="N129" i="32"/>
  <c r="M129" i="32"/>
  <c r="L129" i="32"/>
  <c r="K129" i="32"/>
  <c r="J129" i="32"/>
  <c r="I129" i="32"/>
  <c r="H129" i="32"/>
  <c r="E114" i="32"/>
  <c r="R111" i="32"/>
  <c r="Q111" i="32"/>
  <c r="P111" i="32"/>
  <c r="O111" i="32"/>
  <c r="N111" i="32"/>
  <c r="M111" i="32"/>
  <c r="L111" i="32"/>
  <c r="K111" i="32"/>
  <c r="J111" i="32"/>
  <c r="I111" i="32"/>
  <c r="H111" i="32"/>
  <c r="R101" i="32"/>
  <c r="Q101" i="32"/>
  <c r="P101" i="32"/>
  <c r="O101" i="32"/>
  <c r="N101" i="32"/>
  <c r="M101" i="32"/>
  <c r="L101" i="32"/>
  <c r="K101" i="32"/>
  <c r="J101" i="32"/>
  <c r="I101" i="32"/>
  <c r="H101" i="32"/>
  <c r="R96" i="32"/>
  <c r="Q96" i="32"/>
  <c r="P96" i="32"/>
  <c r="O96" i="32"/>
  <c r="N96" i="32"/>
  <c r="M96" i="32"/>
  <c r="L96" i="32"/>
  <c r="K96" i="32"/>
  <c r="J96" i="32"/>
  <c r="I96" i="32"/>
  <c r="H96" i="32"/>
  <c r="N94" i="32"/>
  <c r="M94" i="32"/>
  <c r="J94" i="32"/>
  <c r="I94" i="32"/>
  <c r="H94" i="32"/>
  <c r="O91" i="32"/>
  <c r="K91" i="32"/>
  <c r="M89" i="32"/>
  <c r="H87" i="32"/>
  <c r="H95" i="32" s="1"/>
  <c r="R85" i="32"/>
  <c r="Q85" i="32"/>
  <c r="P85" i="32"/>
  <c r="O85" i="32"/>
  <c r="N85" i="32"/>
  <c r="M85" i="32"/>
  <c r="L85" i="32"/>
  <c r="K85" i="32"/>
  <c r="J85" i="32"/>
  <c r="I85" i="32"/>
  <c r="H85" i="32"/>
  <c r="R71" i="32"/>
  <c r="Q71" i="32"/>
  <c r="P71" i="32"/>
  <c r="O71" i="32"/>
  <c r="N71" i="32"/>
  <c r="M71" i="32"/>
  <c r="L71" i="32"/>
  <c r="K71" i="32"/>
  <c r="J71" i="32"/>
  <c r="I71" i="32"/>
  <c r="H71" i="32"/>
  <c r="H57" i="32"/>
  <c r="H73" i="32" s="1"/>
  <c r="O46" i="32"/>
  <c r="K46" i="32"/>
  <c r="R41" i="32"/>
  <c r="R132" i="32" s="1"/>
  <c r="Q41" i="32"/>
  <c r="Q132" i="32" s="1"/>
  <c r="P41" i="32"/>
  <c r="P132" i="32" s="1"/>
  <c r="O41" i="32"/>
  <c r="O132" i="32" s="1"/>
  <c r="N41" i="32"/>
  <c r="N132" i="32" s="1"/>
  <c r="M41" i="32"/>
  <c r="M132" i="32" s="1"/>
  <c r="L41" i="32"/>
  <c r="L132" i="32" s="1"/>
  <c r="K41" i="32"/>
  <c r="K132" i="32" s="1"/>
  <c r="J41" i="32"/>
  <c r="J132" i="32" s="1"/>
  <c r="I41" i="32"/>
  <c r="I132" i="32" s="1"/>
  <c r="H41" i="32"/>
  <c r="H132" i="32" s="1"/>
  <c r="R38" i="32"/>
  <c r="Q38" i="32"/>
  <c r="P38" i="32"/>
  <c r="O38" i="32"/>
  <c r="N38" i="32"/>
  <c r="M38" i="32"/>
  <c r="L38" i="32"/>
  <c r="K38" i="32"/>
  <c r="J38" i="32"/>
  <c r="I38" i="32"/>
  <c r="H38" i="32"/>
  <c r="R33" i="32"/>
  <c r="Q33" i="32"/>
  <c r="P33" i="32"/>
  <c r="O33" i="32"/>
  <c r="O89" i="32" s="1"/>
  <c r="N33" i="32"/>
  <c r="M33" i="32"/>
  <c r="L33" i="32"/>
  <c r="K33" i="32"/>
  <c r="K89" i="32" s="1"/>
  <c r="J33" i="32"/>
  <c r="I33" i="32"/>
  <c r="H33" i="32"/>
  <c r="K32" i="32"/>
  <c r="L32" i="32" s="1"/>
  <c r="I32" i="32"/>
  <c r="J32" i="32" s="1"/>
  <c r="N29" i="32"/>
  <c r="O29" i="32" s="1"/>
  <c r="O94" i="32" s="1"/>
  <c r="K29" i="32"/>
  <c r="K27" i="32" s="1"/>
  <c r="M27" i="32"/>
  <c r="J27" i="32"/>
  <c r="J108" i="32" s="1"/>
  <c r="I27" i="32"/>
  <c r="H27" i="32"/>
  <c r="L24" i="32"/>
  <c r="R19" i="32"/>
  <c r="R139" i="32" s="1"/>
  <c r="Q19" i="32"/>
  <c r="Q139" i="32" s="1"/>
  <c r="P19" i="32"/>
  <c r="P139" i="32" s="1"/>
  <c r="O19" i="32"/>
  <c r="N19" i="32"/>
  <c r="N139" i="32" s="1"/>
  <c r="M19" i="32"/>
  <c r="M139" i="32" s="1"/>
  <c r="K19" i="32"/>
  <c r="J19" i="32"/>
  <c r="J139" i="32" s="1"/>
  <c r="I19" i="32"/>
  <c r="I139" i="32" s="1"/>
  <c r="H19" i="32"/>
  <c r="H139" i="32" s="1"/>
  <c r="J18" i="32"/>
  <c r="H18" i="32"/>
  <c r="R10" i="32"/>
  <c r="Q10" i="32"/>
  <c r="P10" i="32"/>
  <c r="O10" i="32"/>
  <c r="N10" i="32"/>
  <c r="M10" i="32"/>
  <c r="M4" i="32" s="1"/>
  <c r="L10" i="32"/>
  <c r="L138" i="32" s="1"/>
  <c r="K10" i="32"/>
  <c r="J10" i="32"/>
  <c r="I10" i="32"/>
  <c r="H10" i="32"/>
  <c r="H138" i="32" s="1"/>
  <c r="R5" i="32"/>
  <c r="Q5" i="32"/>
  <c r="Q137" i="32" s="1"/>
  <c r="P5" i="32"/>
  <c r="O5" i="32"/>
  <c r="O137" i="32" s="1"/>
  <c r="N5" i="32"/>
  <c r="M5" i="32"/>
  <c r="M137" i="32" s="1"/>
  <c r="L5" i="32"/>
  <c r="K5" i="32"/>
  <c r="K137" i="32" s="1"/>
  <c r="J5" i="32"/>
  <c r="I5" i="32"/>
  <c r="I137" i="32" s="1"/>
  <c r="H5" i="32"/>
  <c r="Q4" i="32"/>
  <c r="O4" i="32"/>
  <c r="L4" i="32"/>
  <c r="K4" i="32"/>
  <c r="J4" i="32"/>
  <c r="H4" i="32"/>
  <c r="Q102" i="33" l="1"/>
  <c r="Q90" i="33"/>
  <c r="K102" i="33"/>
  <c r="K90" i="33"/>
  <c r="L110" i="33"/>
  <c r="P102" i="33"/>
  <c r="P90" i="33"/>
  <c r="J124" i="33"/>
  <c r="J120" i="33"/>
  <c r="J125" i="33"/>
  <c r="J123" i="33"/>
  <c r="J122" i="33"/>
  <c r="J121" i="33"/>
  <c r="J135" i="33"/>
  <c r="J52" i="33"/>
  <c r="Q134" i="33"/>
  <c r="Q93" i="33"/>
  <c r="Q92" i="33"/>
  <c r="Q88" i="33"/>
  <c r="Q48" i="33"/>
  <c r="Q51" i="33" s="1"/>
  <c r="I123" i="33"/>
  <c r="I125" i="33"/>
  <c r="I124" i="33"/>
  <c r="I122" i="33"/>
  <c r="I121" i="33"/>
  <c r="I120" i="33"/>
  <c r="R100" i="33"/>
  <c r="R99" i="33"/>
  <c r="K107" i="33"/>
  <c r="K136" i="33"/>
  <c r="K114" i="33"/>
  <c r="K31" i="33"/>
  <c r="L99" i="33"/>
  <c r="L100" i="33"/>
  <c r="Q100" i="33"/>
  <c r="R124" i="33"/>
  <c r="R120" i="33"/>
  <c r="R125" i="33"/>
  <c r="R123" i="33"/>
  <c r="R122" i="33"/>
  <c r="R121" i="33"/>
  <c r="K112" i="33"/>
  <c r="Q110" i="33"/>
  <c r="H114" i="33"/>
  <c r="Q123" i="33"/>
  <c r="Q121" i="33"/>
  <c r="Q125" i="33"/>
  <c r="Q124" i="33"/>
  <c r="Q122" i="33"/>
  <c r="Q120" i="33"/>
  <c r="J90" i="33"/>
  <c r="J102" i="33"/>
  <c r="O100" i="33"/>
  <c r="O99" i="33"/>
  <c r="N102" i="33"/>
  <c r="N90" i="33"/>
  <c r="M134" i="33"/>
  <c r="M93" i="33"/>
  <c r="M92" i="33"/>
  <c r="M88" i="33"/>
  <c r="M48" i="33"/>
  <c r="M51" i="33" s="1"/>
  <c r="I109" i="33"/>
  <c r="I115" i="33" s="1"/>
  <c r="I119" i="33" s="1"/>
  <c r="I127" i="33" s="1"/>
  <c r="I106" i="33"/>
  <c r="L122" i="33"/>
  <c r="L121" i="33"/>
  <c r="L120" i="33"/>
  <c r="L125" i="33"/>
  <c r="L124" i="33"/>
  <c r="L123" i="33"/>
  <c r="L102" i="33"/>
  <c r="L90" i="33"/>
  <c r="Q136" i="33"/>
  <c r="Q107" i="33"/>
  <c r="Q31" i="33"/>
  <c r="P134" i="33"/>
  <c r="P88" i="33"/>
  <c r="P48" i="33"/>
  <c r="P51" i="33" s="1"/>
  <c r="P93" i="33"/>
  <c r="P92" i="33"/>
  <c r="I90" i="33"/>
  <c r="I102" i="33"/>
  <c r="Q112" i="33"/>
  <c r="I134" i="33"/>
  <c r="I93" i="33"/>
  <c r="I92" i="33"/>
  <c r="I88" i="33"/>
  <c r="I48" i="33"/>
  <c r="I51" i="33" s="1"/>
  <c r="N134" i="33"/>
  <c r="N92" i="33"/>
  <c r="N88" i="33"/>
  <c r="N48" i="33"/>
  <c r="N51" i="33" s="1"/>
  <c r="N93" i="33"/>
  <c r="H122" i="33"/>
  <c r="H121" i="33"/>
  <c r="H120" i="33"/>
  <c r="H125" i="33"/>
  <c r="H123" i="33"/>
  <c r="H124" i="33"/>
  <c r="N142" i="33"/>
  <c r="N114" i="33"/>
  <c r="N18" i="33"/>
  <c r="N108" i="33"/>
  <c r="N100" i="33"/>
  <c r="N99" i="33"/>
  <c r="O110" i="33"/>
  <c r="O136" i="33"/>
  <c r="O31" i="33"/>
  <c r="O107" i="33"/>
  <c r="R107" i="33"/>
  <c r="R136" i="33"/>
  <c r="R31" i="33"/>
  <c r="L134" i="33"/>
  <c r="L88" i="33"/>
  <c r="L93" i="33"/>
  <c r="L92" i="33"/>
  <c r="L48" i="33"/>
  <c r="L51" i="33" s="1"/>
  <c r="L114" i="33"/>
  <c r="R112" i="33"/>
  <c r="O125" i="33"/>
  <c r="O121" i="33"/>
  <c r="O124" i="33"/>
  <c r="O123" i="33"/>
  <c r="O122" i="33"/>
  <c r="O120" i="33"/>
  <c r="K134" i="33"/>
  <c r="K93" i="33"/>
  <c r="K92" i="33"/>
  <c r="K88" i="33"/>
  <c r="K48" i="33"/>
  <c r="K51" i="33" s="1"/>
  <c r="O134" i="33"/>
  <c r="O93" i="33"/>
  <c r="O92" i="33"/>
  <c r="O88" i="33"/>
  <c r="O48" i="33"/>
  <c r="O51" i="33" s="1"/>
  <c r="M123" i="33"/>
  <c r="M122" i="33"/>
  <c r="M121" i="33"/>
  <c r="M120" i="33"/>
  <c r="M124" i="33"/>
  <c r="M125" i="33"/>
  <c r="J57" i="33"/>
  <c r="J73" i="33" s="1"/>
  <c r="K32" i="33"/>
  <c r="J87" i="33"/>
  <c r="J95" i="33" s="1"/>
  <c r="H102" i="33"/>
  <c r="H90" i="33"/>
  <c r="H134" i="33"/>
  <c r="H93" i="33"/>
  <c r="H92" i="33"/>
  <c r="H88" i="33"/>
  <c r="H48" i="33"/>
  <c r="H51" i="33" s="1"/>
  <c r="H136" i="33"/>
  <c r="H31" i="33"/>
  <c r="H107" i="33"/>
  <c r="P100" i="33"/>
  <c r="K100" i="33"/>
  <c r="K99" i="33"/>
  <c r="H99" i="33"/>
  <c r="H100" i="33"/>
  <c r="R114" i="33"/>
  <c r="N107" i="33"/>
  <c r="N136" i="33"/>
  <c r="N31" i="33"/>
  <c r="O102" i="33"/>
  <c r="O90" i="33"/>
  <c r="L136" i="33"/>
  <c r="L107" i="33"/>
  <c r="L31" i="33"/>
  <c r="N124" i="33"/>
  <c r="N120" i="33"/>
  <c r="N125" i="33"/>
  <c r="N122" i="33"/>
  <c r="N121" i="33"/>
  <c r="N123" i="33"/>
  <c r="I100" i="33"/>
  <c r="I99" i="33"/>
  <c r="R102" i="33"/>
  <c r="R90" i="33"/>
  <c r="R134" i="33"/>
  <c r="R92" i="33"/>
  <c r="R88" i="33"/>
  <c r="R48" i="33"/>
  <c r="R51" i="33" s="1"/>
  <c r="R93" i="33"/>
  <c r="K114" i="32"/>
  <c r="K142" i="32"/>
  <c r="K108" i="32"/>
  <c r="M136" i="32"/>
  <c r="M107" i="32"/>
  <c r="Q136" i="32"/>
  <c r="Q107" i="32"/>
  <c r="K102" i="32"/>
  <c r="K90" i="32"/>
  <c r="H137" i="32"/>
  <c r="H104" i="32"/>
  <c r="H103" i="32"/>
  <c r="P137" i="32"/>
  <c r="P104" i="32"/>
  <c r="P103" i="32"/>
  <c r="P4" i="32"/>
  <c r="P112" i="32" s="1"/>
  <c r="Q138" i="32"/>
  <c r="Q110" i="32"/>
  <c r="L141" i="32"/>
  <c r="L19" i="32"/>
  <c r="L128" i="32"/>
  <c r="L116" i="32"/>
  <c r="L117" i="32"/>
  <c r="L112" i="32"/>
  <c r="L113" i="32"/>
  <c r="L89" i="32"/>
  <c r="L91" i="32"/>
  <c r="L46" i="32"/>
  <c r="P128" i="32"/>
  <c r="P116" i="32"/>
  <c r="P117" i="32"/>
  <c r="P113" i="32"/>
  <c r="P89" i="32"/>
  <c r="P91" i="32"/>
  <c r="P46" i="32"/>
  <c r="I133" i="32"/>
  <c r="I131" i="32"/>
  <c r="I118" i="32"/>
  <c r="I105" i="32"/>
  <c r="Q133" i="32"/>
  <c r="Q131" i="32"/>
  <c r="Q118" i="32"/>
  <c r="Q105" i="32"/>
  <c r="H109" i="32"/>
  <c r="H115" i="32" s="1"/>
  <c r="H119" i="32" s="1"/>
  <c r="H127" i="32" s="1"/>
  <c r="H106" i="32"/>
  <c r="Q89" i="32"/>
  <c r="M102" i="32"/>
  <c r="M90" i="32"/>
  <c r="L136" i="32"/>
  <c r="L107" i="32"/>
  <c r="I138" i="32"/>
  <c r="H128" i="32"/>
  <c r="H116" i="32"/>
  <c r="H117" i="32"/>
  <c r="H112" i="32"/>
  <c r="H113" i="32"/>
  <c r="H89" i="32"/>
  <c r="H91" i="32"/>
  <c r="H46" i="32"/>
  <c r="M133" i="32"/>
  <c r="M131" i="32"/>
  <c r="M118" i="32"/>
  <c r="M105" i="32"/>
  <c r="I4" i="32"/>
  <c r="I112" i="32" s="1"/>
  <c r="K139" i="32"/>
  <c r="K97" i="32"/>
  <c r="K98" i="32" s="1"/>
  <c r="K18" i="32"/>
  <c r="P29" i="32"/>
  <c r="J87" i="32"/>
  <c r="J95" i="32" s="1"/>
  <c r="J57" i="32"/>
  <c r="J73" i="32" s="1"/>
  <c r="K134" i="32"/>
  <c r="K92" i="32"/>
  <c r="K88" i="32"/>
  <c r="K48" i="32"/>
  <c r="K51" i="32" s="1"/>
  <c r="K93" i="32"/>
  <c r="K57" i="32"/>
  <c r="K73" i="32" s="1"/>
  <c r="K87" i="32"/>
  <c r="K95" i="32" s="1"/>
  <c r="K136" i="32"/>
  <c r="K107" i="32"/>
  <c r="K31" i="32"/>
  <c r="K94" i="32"/>
  <c r="L29" i="32"/>
  <c r="O102" i="32"/>
  <c r="O90" i="32"/>
  <c r="H136" i="32"/>
  <c r="H31" i="32"/>
  <c r="H107" i="32"/>
  <c r="L137" i="32"/>
  <c r="L104" i="32"/>
  <c r="L103" i="32"/>
  <c r="M138" i="32"/>
  <c r="M110" i="32"/>
  <c r="O139" i="32"/>
  <c r="O97" i="32"/>
  <c r="O98" i="32" s="1"/>
  <c r="O18" i="32"/>
  <c r="O31" i="32" s="1"/>
  <c r="J136" i="32"/>
  <c r="J107" i="32"/>
  <c r="J31" i="32"/>
  <c r="O136" i="32"/>
  <c r="O107" i="32"/>
  <c r="J137" i="32"/>
  <c r="J103" i="32"/>
  <c r="J104" i="32"/>
  <c r="N137" i="32"/>
  <c r="N103" i="32"/>
  <c r="N4" i="32"/>
  <c r="N104" i="32"/>
  <c r="R137" i="32"/>
  <c r="R103" i="32"/>
  <c r="R4" i="32"/>
  <c r="R104" i="32"/>
  <c r="K138" i="32"/>
  <c r="K110" i="32"/>
  <c r="O110" i="32"/>
  <c r="O138" i="32"/>
  <c r="O27" i="32"/>
  <c r="M32" i="32"/>
  <c r="L87" i="32"/>
  <c r="L95" i="32" s="1"/>
  <c r="L57" i="32"/>
  <c r="L73" i="32" s="1"/>
  <c r="J89" i="32"/>
  <c r="N89" i="32"/>
  <c r="R89" i="32"/>
  <c r="O134" i="32"/>
  <c r="O92" i="32"/>
  <c r="O88" i="32"/>
  <c r="O48" i="32"/>
  <c r="O51" i="32" s="1"/>
  <c r="O93" i="32"/>
  <c r="I89" i="32"/>
  <c r="J138" i="32"/>
  <c r="J110" i="32"/>
  <c r="N138" i="32"/>
  <c r="R138" i="32"/>
  <c r="R110" i="32"/>
  <c r="H142" i="32"/>
  <c r="H108" i="32"/>
  <c r="H114" i="32"/>
  <c r="I116" i="32"/>
  <c r="I117" i="32"/>
  <c r="I113" i="32"/>
  <c r="I128" i="32"/>
  <c r="M116" i="32"/>
  <c r="M117" i="32"/>
  <c r="M112" i="32"/>
  <c r="M113" i="32"/>
  <c r="M128" i="32"/>
  <c r="Q116" i="32"/>
  <c r="Q117" i="32"/>
  <c r="Q112" i="32"/>
  <c r="Q113" i="32"/>
  <c r="Q128" i="32"/>
  <c r="J131" i="32"/>
  <c r="J118" i="32"/>
  <c r="J133" i="32"/>
  <c r="N131" i="32"/>
  <c r="N118" i="32"/>
  <c r="N133" i="32"/>
  <c r="R131" i="32"/>
  <c r="R118" i="32"/>
  <c r="R133" i="32"/>
  <c r="J97" i="32"/>
  <c r="J98" i="32" s="1"/>
  <c r="N97" i="32"/>
  <c r="N98" i="32" s="1"/>
  <c r="R97" i="32"/>
  <c r="R98" i="32" s="1"/>
  <c r="I104" i="32"/>
  <c r="M104" i="32"/>
  <c r="Q104" i="32"/>
  <c r="J105" i="32"/>
  <c r="N105" i="32"/>
  <c r="R105" i="32"/>
  <c r="L110" i="32"/>
  <c r="I142" i="32"/>
  <c r="M142" i="32"/>
  <c r="M114" i="32"/>
  <c r="J117" i="32"/>
  <c r="J112" i="32"/>
  <c r="J113" i="32"/>
  <c r="J128" i="32"/>
  <c r="J116" i="32"/>
  <c r="N117" i="32"/>
  <c r="N112" i="32"/>
  <c r="N113" i="32"/>
  <c r="N128" i="32"/>
  <c r="N116" i="32"/>
  <c r="R117" i="32"/>
  <c r="R112" i="32"/>
  <c r="R113" i="32"/>
  <c r="R128" i="32"/>
  <c r="R116" i="32"/>
  <c r="K131" i="32"/>
  <c r="K118" i="32"/>
  <c r="K133" i="32"/>
  <c r="O131" i="32"/>
  <c r="O118" i="32"/>
  <c r="O133" i="32"/>
  <c r="I46" i="32"/>
  <c r="M46" i="32"/>
  <c r="Q46" i="32"/>
  <c r="I57" i="32"/>
  <c r="I73" i="32" s="1"/>
  <c r="I87" i="32"/>
  <c r="I95" i="32" s="1"/>
  <c r="I91" i="32"/>
  <c r="M91" i="32"/>
  <c r="Q91" i="32"/>
  <c r="I103" i="32"/>
  <c r="M103" i="32"/>
  <c r="Q103" i="32"/>
  <c r="K105" i="32"/>
  <c r="O105" i="32"/>
  <c r="M108" i="32"/>
  <c r="P110" i="32"/>
  <c r="P138" i="32"/>
  <c r="I18" i="32"/>
  <c r="M18" i="32"/>
  <c r="M31" i="32" s="1"/>
  <c r="J142" i="32"/>
  <c r="J114" i="32"/>
  <c r="N27" i="32"/>
  <c r="K113" i="32"/>
  <c r="K128" i="32"/>
  <c r="K116" i="32"/>
  <c r="K117" i="32"/>
  <c r="K112" i="32"/>
  <c r="O113" i="32"/>
  <c r="O128" i="32"/>
  <c r="O116" i="32"/>
  <c r="O117" i="32"/>
  <c r="O112" i="32"/>
  <c r="H133" i="32"/>
  <c r="H131" i="32"/>
  <c r="H118" i="32"/>
  <c r="L133" i="32"/>
  <c r="L131" i="32"/>
  <c r="L118" i="32"/>
  <c r="P133" i="32"/>
  <c r="P131" i="32"/>
  <c r="P118" i="32"/>
  <c r="J46" i="32"/>
  <c r="N46" i="32"/>
  <c r="R46" i="32"/>
  <c r="J91" i="32"/>
  <c r="N91" i="32"/>
  <c r="R91" i="32"/>
  <c r="H97" i="32"/>
  <c r="H98" i="32" s="1"/>
  <c r="P97" i="32"/>
  <c r="P98" i="32" s="1"/>
  <c r="K104" i="32"/>
  <c r="O104" i="32"/>
  <c r="H105" i="32"/>
  <c r="L105" i="32"/>
  <c r="P105" i="32"/>
  <c r="H110" i="32"/>
  <c r="I97" i="32"/>
  <c r="I98" i="32" s="1"/>
  <c r="M97" i="32"/>
  <c r="M98" i="32" s="1"/>
  <c r="Q97" i="32"/>
  <c r="Q98" i="32" s="1"/>
  <c r="K103" i="32"/>
  <c r="O103" i="32"/>
  <c r="I108" i="32"/>
  <c r="R141" i="31"/>
  <c r="Q141" i="31"/>
  <c r="P141" i="31"/>
  <c r="O141" i="31"/>
  <c r="N141" i="31"/>
  <c r="M141" i="31"/>
  <c r="L141" i="31"/>
  <c r="I141" i="31"/>
  <c r="R140" i="31"/>
  <c r="Q140" i="31"/>
  <c r="P140" i="31"/>
  <c r="O140" i="31"/>
  <c r="N140" i="31"/>
  <c r="M140" i="31"/>
  <c r="L140" i="31"/>
  <c r="K140" i="31"/>
  <c r="J140" i="31"/>
  <c r="I140" i="31"/>
  <c r="H140" i="31"/>
  <c r="P139" i="31"/>
  <c r="R133" i="31"/>
  <c r="R130" i="31"/>
  <c r="Q130" i="31"/>
  <c r="P130" i="31"/>
  <c r="O130" i="31"/>
  <c r="N130" i="31"/>
  <c r="M130" i="31"/>
  <c r="L130" i="31"/>
  <c r="K130" i="31"/>
  <c r="J130" i="31"/>
  <c r="I130" i="31"/>
  <c r="H130" i="31"/>
  <c r="R129" i="31"/>
  <c r="Q129" i="31"/>
  <c r="P129" i="31"/>
  <c r="O129" i="31"/>
  <c r="N129" i="31"/>
  <c r="M129" i="31"/>
  <c r="L129" i="31"/>
  <c r="K129" i="31"/>
  <c r="J129" i="31"/>
  <c r="I129" i="31"/>
  <c r="H129" i="31"/>
  <c r="I128" i="31"/>
  <c r="E114" i="31"/>
  <c r="I113" i="31"/>
  <c r="R111" i="31"/>
  <c r="Q111" i="31"/>
  <c r="P111" i="31"/>
  <c r="O111" i="31"/>
  <c r="N111" i="31"/>
  <c r="M111" i="31"/>
  <c r="L111" i="31"/>
  <c r="K111" i="31"/>
  <c r="J111" i="31"/>
  <c r="I111" i="31"/>
  <c r="H111" i="31"/>
  <c r="O108" i="31"/>
  <c r="N104" i="31"/>
  <c r="Q103" i="31"/>
  <c r="I103" i="31"/>
  <c r="R101" i="31"/>
  <c r="Q101" i="31"/>
  <c r="P101" i="31"/>
  <c r="O101" i="31"/>
  <c r="N101" i="31"/>
  <c r="M101" i="31"/>
  <c r="L101" i="31"/>
  <c r="K101" i="31"/>
  <c r="J101" i="31"/>
  <c r="I101" i="31"/>
  <c r="H101" i="31"/>
  <c r="R96" i="31"/>
  <c r="Q96" i="31"/>
  <c r="P96" i="31"/>
  <c r="O96" i="31"/>
  <c r="N96" i="31"/>
  <c r="M96" i="31"/>
  <c r="L96" i="31"/>
  <c r="K96" i="31"/>
  <c r="J96" i="31"/>
  <c r="I96" i="31"/>
  <c r="H96" i="31"/>
  <c r="H95" i="31"/>
  <c r="H109" i="31" s="1"/>
  <c r="H115" i="31" s="1"/>
  <c r="H119" i="31" s="1"/>
  <c r="H127" i="31" s="1"/>
  <c r="R94" i="31"/>
  <c r="Q94" i="31"/>
  <c r="P94" i="31"/>
  <c r="O94" i="31"/>
  <c r="N94" i="31"/>
  <c r="M94" i="31"/>
  <c r="K94" i="31"/>
  <c r="J94" i="31"/>
  <c r="I94" i="31"/>
  <c r="H94" i="31"/>
  <c r="H87" i="31"/>
  <c r="R85" i="31"/>
  <c r="Q85" i="31"/>
  <c r="P85" i="31"/>
  <c r="O85" i="31"/>
  <c r="N85" i="31"/>
  <c r="M85" i="31"/>
  <c r="L85" i="31"/>
  <c r="K85" i="31"/>
  <c r="J85" i="31"/>
  <c r="I85" i="31"/>
  <c r="H85" i="31"/>
  <c r="R71" i="31"/>
  <c r="Q71" i="31"/>
  <c r="P71" i="31"/>
  <c r="O71" i="31"/>
  <c r="N71" i="31"/>
  <c r="M71" i="31"/>
  <c r="L71" i="31"/>
  <c r="K71" i="31"/>
  <c r="J71" i="31"/>
  <c r="I71" i="31"/>
  <c r="H71" i="31"/>
  <c r="H57" i="31"/>
  <c r="H73" i="31" s="1"/>
  <c r="Q46" i="31"/>
  <c r="Q92" i="31" s="1"/>
  <c r="M46" i="31"/>
  <c r="M48" i="31" s="1"/>
  <c r="M51" i="31" s="1"/>
  <c r="I46" i="31"/>
  <c r="R41" i="31"/>
  <c r="R132" i="31" s="1"/>
  <c r="Q41" i="31"/>
  <c r="Q132" i="31" s="1"/>
  <c r="P41" i="31"/>
  <c r="P132" i="31" s="1"/>
  <c r="O41" i="31"/>
  <c r="O132" i="31" s="1"/>
  <c r="N41" i="31"/>
  <c r="N132" i="31" s="1"/>
  <c r="M41" i="31"/>
  <c r="M132" i="31" s="1"/>
  <c r="L41" i="31"/>
  <c r="L132" i="31" s="1"/>
  <c r="K41" i="31"/>
  <c r="K132" i="31" s="1"/>
  <c r="J41" i="31"/>
  <c r="J132" i="31" s="1"/>
  <c r="I41" i="31"/>
  <c r="I132" i="31" s="1"/>
  <c r="H41" i="31"/>
  <c r="H132" i="31" s="1"/>
  <c r="R38" i="31"/>
  <c r="Q38" i="31"/>
  <c r="P38" i="31"/>
  <c r="P118" i="31" s="1"/>
  <c r="O38" i="31"/>
  <c r="O105" i="31" s="1"/>
  <c r="N38" i="31"/>
  <c r="N105" i="31" s="1"/>
  <c r="M38" i="31"/>
  <c r="L38" i="31"/>
  <c r="K38" i="31"/>
  <c r="K105" i="31" s="1"/>
  <c r="J38" i="31"/>
  <c r="I38" i="31"/>
  <c r="H38" i="31"/>
  <c r="R33" i="31"/>
  <c r="Q33" i="31"/>
  <c r="Q113" i="31" s="1"/>
  <c r="P33" i="31"/>
  <c r="O33" i="31"/>
  <c r="N33" i="31"/>
  <c r="N46" i="31" s="1"/>
  <c r="M33" i="31"/>
  <c r="M128" i="31" s="1"/>
  <c r="L33" i="31"/>
  <c r="L113" i="31" s="1"/>
  <c r="K33" i="31"/>
  <c r="J33" i="31"/>
  <c r="I33" i="31"/>
  <c r="H33" i="31"/>
  <c r="I32" i="31"/>
  <c r="I87" i="31" s="1"/>
  <c r="I95" i="31" s="1"/>
  <c r="L29" i="31"/>
  <c r="L94" i="31" s="1"/>
  <c r="K29" i="31"/>
  <c r="R27" i="31"/>
  <c r="Q27" i="31"/>
  <c r="P27" i="31"/>
  <c r="O27" i="31"/>
  <c r="N27" i="31"/>
  <c r="M27" i="31"/>
  <c r="L27" i="31"/>
  <c r="L142" i="31" s="1"/>
  <c r="K27" i="31"/>
  <c r="J27" i="31"/>
  <c r="I27" i="31"/>
  <c r="H27" i="31"/>
  <c r="K24" i="31"/>
  <c r="K141" i="31" s="1"/>
  <c r="J24" i="31"/>
  <c r="J141" i="31" s="1"/>
  <c r="H24" i="31"/>
  <c r="H141" i="31" s="1"/>
  <c r="L21" i="31"/>
  <c r="L19" i="31" s="1"/>
  <c r="K21" i="31"/>
  <c r="J21" i="31"/>
  <c r="I21" i="31"/>
  <c r="I19" i="31" s="1"/>
  <c r="H21" i="31"/>
  <c r="H19" i="31" s="1"/>
  <c r="R19" i="31"/>
  <c r="R139" i="31" s="1"/>
  <c r="Q19" i="31"/>
  <c r="P19" i="31"/>
  <c r="P97" i="31" s="1"/>
  <c r="P98" i="31" s="1"/>
  <c r="O19" i="31"/>
  <c r="O139" i="31" s="1"/>
  <c r="N19" i="31"/>
  <c r="N139" i="31" s="1"/>
  <c r="M19" i="31"/>
  <c r="K19" i="31"/>
  <c r="K139" i="31" s="1"/>
  <c r="J19" i="31"/>
  <c r="J139" i="31" s="1"/>
  <c r="R18" i="31"/>
  <c r="N18" i="31"/>
  <c r="J18" i="31"/>
  <c r="R10" i="31"/>
  <c r="Q10" i="31"/>
  <c r="Q138" i="31" s="1"/>
  <c r="P10" i="31"/>
  <c r="O10" i="31"/>
  <c r="N10" i="31"/>
  <c r="N138" i="31" s="1"/>
  <c r="M10" i="31"/>
  <c r="L10" i="31"/>
  <c r="K10" i="31"/>
  <c r="J10" i="31"/>
  <c r="I10" i="31"/>
  <c r="I138" i="31" s="1"/>
  <c r="H10" i="31"/>
  <c r="R5" i="31"/>
  <c r="R103" i="31" s="1"/>
  <c r="Q5" i="31"/>
  <c r="Q137" i="31" s="1"/>
  <c r="P5" i="31"/>
  <c r="O5" i="31"/>
  <c r="N5" i="31"/>
  <c r="M5" i="31"/>
  <c r="M137" i="31" s="1"/>
  <c r="L5" i="31"/>
  <c r="L103" i="31" s="1"/>
  <c r="K5" i="31"/>
  <c r="J5" i="31"/>
  <c r="I5" i="31"/>
  <c r="I137" i="31" s="1"/>
  <c r="H5" i="31"/>
  <c r="O4" i="31"/>
  <c r="O136" i="31" s="1"/>
  <c r="K4" i="31"/>
  <c r="L135" i="33" l="1"/>
  <c r="L52" i="33"/>
  <c r="Q135" i="33"/>
  <c r="Q52" i="33"/>
  <c r="J109" i="33"/>
  <c r="J115" i="33" s="1"/>
  <c r="J119" i="33" s="1"/>
  <c r="J127" i="33" s="1"/>
  <c r="J106" i="33"/>
  <c r="N135" i="33"/>
  <c r="N52" i="33"/>
  <c r="I135" i="33"/>
  <c r="I52" i="33"/>
  <c r="H135" i="33"/>
  <c r="H52" i="33"/>
  <c r="K87" i="33"/>
  <c r="K95" i="33" s="1"/>
  <c r="K57" i="33"/>
  <c r="K73" i="33" s="1"/>
  <c r="L32" i="33"/>
  <c r="O135" i="33"/>
  <c r="O52" i="33"/>
  <c r="R135" i="33"/>
  <c r="R52" i="33"/>
  <c r="K135" i="33"/>
  <c r="K52" i="33"/>
  <c r="P135" i="33"/>
  <c r="P52" i="33"/>
  <c r="M135" i="33"/>
  <c r="M52" i="33"/>
  <c r="N134" i="32"/>
  <c r="N92" i="32"/>
  <c r="N88" i="32"/>
  <c r="N48" i="32"/>
  <c r="N51" i="32" s="1"/>
  <c r="N93" i="32"/>
  <c r="Q134" i="32"/>
  <c r="Q93" i="32"/>
  <c r="Q92" i="32"/>
  <c r="Q88" i="32"/>
  <c r="Q48" i="32"/>
  <c r="Q51" i="32" s="1"/>
  <c r="M124" i="32"/>
  <c r="M120" i="32"/>
  <c r="M125" i="32"/>
  <c r="M121" i="32"/>
  <c r="M122" i="32"/>
  <c r="M123" i="32"/>
  <c r="Q99" i="32"/>
  <c r="Q100" i="32"/>
  <c r="J134" i="32"/>
  <c r="J92" i="32"/>
  <c r="J88" i="32"/>
  <c r="J48" i="32"/>
  <c r="J51" i="32" s="1"/>
  <c r="J93" i="32"/>
  <c r="O122" i="32"/>
  <c r="O123" i="32"/>
  <c r="O124" i="32"/>
  <c r="O120" i="32"/>
  <c r="O125" i="32"/>
  <c r="O121" i="32"/>
  <c r="N142" i="32"/>
  <c r="N114" i="32"/>
  <c r="N108" i="32"/>
  <c r="N18" i="32"/>
  <c r="N31" i="32" s="1"/>
  <c r="M134" i="32"/>
  <c r="M93" i="32"/>
  <c r="M92" i="32"/>
  <c r="M88" i="32"/>
  <c r="M48" i="32"/>
  <c r="M51" i="32" s="1"/>
  <c r="R121" i="32"/>
  <c r="R122" i="32"/>
  <c r="R120" i="32"/>
  <c r="J99" i="32"/>
  <c r="J100" i="32"/>
  <c r="I124" i="32"/>
  <c r="I120" i="32"/>
  <c r="I125" i="32"/>
  <c r="I121" i="32"/>
  <c r="I122" i="32"/>
  <c r="I123" i="32"/>
  <c r="O135" i="32"/>
  <c r="O52" i="32"/>
  <c r="R102" i="32"/>
  <c r="R90" i="32"/>
  <c r="L109" i="32"/>
  <c r="L115" i="32" s="1"/>
  <c r="L119" i="32" s="1"/>
  <c r="L127" i="32" s="1"/>
  <c r="L106" i="32"/>
  <c r="R136" i="32"/>
  <c r="R107" i="32"/>
  <c r="N136" i="32"/>
  <c r="N107" i="32"/>
  <c r="H134" i="32"/>
  <c r="H92" i="32"/>
  <c r="H93" i="32"/>
  <c r="H48" i="32"/>
  <c r="H51" i="32" s="1"/>
  <c r="H88" i="32"/>
  <c r="I110" i="32"/>
  <c r="P102" i="32"/>
  <c r="P90" i="32"/>
  <c r="P123" i="32"/>
  <c r="P124" i="32"/>
  <c r="P120" i="32"/>
  <c r="P125" i="32"/>
  <c r="P121" i="32"/>
  <c r="P122" i="32"/>
  <c r="L102" i="32"/>
  <c r="L90" i="32"/>
  <c r="L123" i="32"/>
  <c r="L124" i="32"/>
  <c r="L120" i="32"/>
  <c r="L125" i="32"/>
  <c r="L121" i="32"/>
  <c r="L122" i="32"/>
  <c r="N99" i="32"/>
  <c r="N100" i="32"/>
  <c r="M99" i="32"/>
  <c r="M100" i="32"/>
  <c r="P100" i="32"/>
  <c r="P99" i="32"/>
  <c r="K122" i="32"/>
  <c r="K123" i="32"/>
  <c r="K124" i="32"/>
  <c r="K120" i="32"/>
  <c r="K125" i="32"/>
  <c r="K121" i="32"/>
  <c r="I109" i="32"/>
  <c r="I115" i="32" s="1"/>
  <c r="I119" i="32" s="1"/>
  <c r="I127" i="32" s="1"/>
  <c r="I106" i="32"/>
  <c r="I134" i="32"/>
  <c r="I93" i="32"/>
  <c r="I92" i="32"/>
  <c r="I88" i="32"/>
  <c r="I48" i="32"/>
  <c r="I51" i="32" s="1"/>
  <c r="N125" i="32"/>
  <c r="N121" i="32"/>
  <c r="N122" i="32"/>
  <c r="N123" i="32"/>
  <c r="N124" i="32"/>
  <c r="N120" i="32"/>
  <c r="I114" i="32"/>
  <c r="N102" i="32"/>
  <c r="N90" i="32"/>
  <c r="N32" i="32"/>
  <c r="M87" i="32"/>
  <c r="M95" i="32" s="1"/>
  <c r="M57" i="32"/>
  <c r="M73" i="32" s="1"/>
  <c r="O99" i="32"/>
  <c r="O100" i="32"/>
  <c r="L94" i="32"/>
  <c r="L27" i="32"/>
  <c r="K135" i="32"/>
  <c r="K52" i="32"/>
  <c r="K99" i="32"/>
  <c r="K100" i="32"/>
  <c r="I99" i="32"/>
  <c r="I100" i="32"/>
  <c r="H100" i="32"/>
  <c r="H99" i="32"/>
  <c r="R134" i="32"/>
  <c r="R92" i="32"/>
  <c r="R88" i="32"/>
  <c r="R48" i="32"/>
  <c r="R51" i="32" s="1"/>
  <c r="R123" i="32" s="1"/>
  <c r="R93" i="32"/>
  <c r="J125" i="32"/>
  <c r="J121" i="32"/>
  <c r="J122" i="32"/>
  <c r="J123" i="32"/>
  <c r="J124" i="32"/>
  <c r="J120" i="32"/>
  <c r="R99" i="32"/>
  <c r="R100" i="32"/>
  <c r="Q124" i="32"/>
  <c r="Q120" i="32"/>
  <c r="Q121" i="32"/>
  <c r="Q122" i="32"/>
  <c r="Q123" i="32"/>
  <c r="N110" i="32"/>
  <c r="I102" i="32"/>
  <c r="I90" i="32"/>
  <c r="J102" i="32"/>
  <c r="J90" i="32"/>
  <c r="O114" i="32"/>
  <c r="O142" i="32"/>
  <c r="O108" i="32"/>
  <c r="K109" i="32"/>
  <c r="K115" i="32" s="1"/>
  <c r="K119" i="32" s="1"/>
  <c r="K127" i="32" s="1"/>
  <c r="K106" i="32"/>
  <c r="J106" i="32"/>
  <c r="J109" i="32"/>
  <c r="J115" i="32" s="1"/>
  <c r="J119" i="32" s="1"/>
  <c r="J127" i="32" s="1"/>
  <c r="H102" i="32"/>
  <c r="H90" i="32"/>
  <c r="H123" i="32"/>
  <c r="H124" i="32"/>
  <c r="H120" i="32"/>
  <c r="H125" i="32"/>
  <c r="H121" i="32"/>
  <c r="H122" i="32"/>
  <c r="P134" i="32"/>
  <c r="P92" i="32"/>
  <c r="P93" i="32"/>
  <c r="P88" i="32"/>
  <c r="P48" i="32"/>
  <c r="P51" i="32" s="1"/>
  <c r="L134" i="32"/>
  <c r="L92" i="32"/>
  <c r="L93" i="32"/>
  <c r="L88" i="32"/>
  <c r="L48" i="32"/>
  <c r="L51" i="32" s="1"/>
  <c r="P94" i="32"/>
  <c r="Q29" i="32"/>
  <c r="P27" i="32"/>
  <c r="I136" i="32"/>
  <c r="I107" i="32"/>
  <c r="I31" i="32"/>
  <c r="Q102" i="32"/>
  <c r="Q90" i="32"/>
  <c r="L139" i="32"/>
  <c r="L97" i="32"/>
  <c r="L98" i="32" s="1"/>
  <c r="L18" i="32"/>
  <c r="L31" i="32" s="1"/>
  <c r="P136" i="32"/>
  <c r="P107" i="32"/>
  <c r="H139" i="31"/>
  <c r="H97" i="31"/>
  <c r="H98" i="31" s="1"/>
  <c r="H18" i="31"/>
  <c r="L97" i="31"/>
  <c r="L98" i="31" s="1"/>
  <c r="L139" i="31"/>
  <c r="L18" i="31"/>
  <c r="N134" i="31"/>
  <c r="N88" i="31"/>
  <c r="N93" i="31"/>
  <c r="N48" i="31"/>
  <c r="N51" i="31" s="1"/>
  <c r="N92" i="31"/>
  <c r="M135" i="31"/>
  <c r="M52" i="31"/>
  <c r="P99" i="31"/>
  <c r="I139" i="31"/>
  <c r="I97" i="31"/>
  <c r="I98" i="31" s="1"/>
  <c r="I18" i="31"/>
  <c r="M114" i="31"/>
  <c r="I106" i="31"/>
  <c r="I109" i="31"/>
  <c r="I115" i="31" s="1"/>
  <c r="I119" i="31" s="1"/>
  <c r="I127" i="31" s="1"/>
  <c r="H137" i="31"/>
  <c r="H104" i="31"/>
  <c r="P137" i="31"/>
  <c r="P104" i="31"/>
  <c r="M138" i="31"/>
  <c r="M110" i="31"/>
  <c r="H142" i="31"/>
  <c r="H108" i="31"/>
  <c r="J117" i="31"/>
  <c r="J113" i="31"/>
  <c r="J128" i="31"/>
  <c r="J116" i="31"/>
  <c r="J91" i="31"/>
  <c r="I134" i="31"/>
  <c r="I93" i="31"/>
  <c r="I142" i="31"/>
  <c r="I108" i="31"/>
  <c r="O113" i="31"/>
  <c r="O128" i="31"/>
  <c r="O116" i="31"/>
  <c r="O91" i="31"/>
  <c r="O117" i="31"/>
  <c r="L133" i="31"/>
  <c r="L131" i="31"/>
  <c r="L105" i="31"/>
  <c r="O89" i="31"/>
  <c r="I91" i="31"/>
  <c r="Q91" i="31"/>
  <c r="J97" i="31"/>
  <c r="J98" i="31" s="1"/>
  <c r="R97" i="31"/>
  <c r="R98" i="31" s="1"/>
  <c r="I104" i="31"/>
  <c r="Q104" i="31"/>
  <c r="O107" i="31"/>
  <c r="R137" i="31"/>
  <c r="P142" i="31"/>
  <c r="P114" i="31"/>
  <c r="P108" i="31"/>
  <c r="R117" i="31"/>
  <c r="R113" i="31"/>
  <c r="R128" i="31"/>
  <c r="R91" i="31"/>
  <c r="M134" i="31"/>
  <c r="M93" i="31"/>
  <c r="Q88" i="31"/>
  <c r="P91" i="31"/>
  <c r="O97" i="31"/>
  <c r="O98" i="31" s="1"/>
  <c r="H106" i="31"/>
  <c r="L114" i="31"/>
  <c r="H131" i="31"/>
  <c r="H4" i="31"/>
  <c r="P4" i="31"/>
  <c r="R138" i="31"/>
  <c r="O18" i="31"/>
  <c r="Q142" i="31"/>
  <c r="Q108" i="31"/>
  <c r="K113" i="31"/>
  <c r="K128" i="31"/>
  <c r="K116" i="31"/>
  <c r="K112" i="31"/>
  <c r="K91" i="31"/>
  <c r="H133" i="31"/>
  <c r="H118" i="31"/>
  <c r="H105" i="31"/>
  <c r="J46" i="31"/>
  <c r="R46" i="31"/>
  <c r="I4" i="31"/>
  <c r="I110" i="31" s="1"/>
  <c r="M4" i="31"/>
  <c r="M112" i="31" s="1"/>
  <c r="Q4" i="31"/>
  <c r="J137" i="31"/>
  <c r="J103" i="31"/>
  <c r="N137" i="31"/>
  <c r="N103" i="31"/>
  <c r="K110" i="31"/>
  <c r="O110" i="31"/>
  <c r="O138" i="31"/>
  <c r="P18" i="31"/>
  <c r="M139" i="31"/>
  <c r="M97" i="31"/>
  <c r="M98" i="31" s="1"/>
  <c r="Q139" i="31"/>
  <c r="Q97" i="31"/>
  <c r="Q98" i="31" s="1"/>
  <c r="J142" i="31"/>
  <c r="J108" i="31"/>
  <c r="J114" i="31"/>
  <c r="N142" i="31"/>
  <c r="N108" i="31"/>
  <c r="R142" i="31"/>
  <c r="R108" i="31"/>
  <c r="H128" i="31"/>
  <c r="H116" i="31"/>
  <c r="H117" i="31"/>
  <c r="H113" i="31"/>
  <c r="H112" i="31"/>
  <c r="H89" i="31"/>
  <c r="L128" i="31"/>
  <c r="L116" i="31"/>
  <c r="L117" i="31"/>
  <c r="L89" i="31"/>
  <c r="P128" i="31"/>
  <c r="P116" i="31"/>
  <c r="P117" i="31"/>
  <c r="P113" i="31"/>
  <c r="P112" i="31"/>
  <c r="P89" i="31"/>
  <c r="I133" i="31"/>
  <c r="I131" i="31"/>
  <c r="I118" i="31"/>
  <c r="I105" i="31"/>
  <c r="M133" i="31"/>
  <c r="M131" i="31"/>
  <c r="M118" i="31"/>
  <c r="M105" i="31"/>
  <c r="Q133" i="31"/>
  <c r="Q131" i="31"/>
  <c r="Q118" i="31"/>
  <c r="Q105" i="31"/>
  <c r="K46" i="31"/>
  <c r="O46" i="31"/>
  <c r="I48" i="31"/>
  <c r="I51" i="31" s="1"/>
  <c r="M88" i="31"/>
  <c r="J89" i="31"/>
  <c r="R89" i="31"/>
  <c r="L91" i="31"/>
  <c r="I92" i="31"/>
  <c r="K97" i="31"/>
  <c r="K98" i="31" s="1"/>
  <c r="M103" i="31"/>
  <c r="J104" i="31"/>
  <c r="R104" i="31"/>
  <c r="Q110" i="31"/>
  <c r="R116" i="31"/>
  <c r="K138" i="31"/>
  <c r="K136" i="31"/>
  <c r="K107" i="31"/>
  <c r="L137" i="31"/>
  <c r="L104" i="31"/>
  <c r="O31" i="31"/>
  <c r="N117" i="31"/>
  <c r="N113" i="31"/>
  <c r="N128" i="31"/>
  <c r="N116" i="31"/>
  <c r="N91" i="31"/>
  <c r="K131" i="31"/>
  <c r="K118" i="31"/>
  <c r="K133" i="31"/>
  <c r="O131" i="31"/>
  <c r="O118" i="31"/>
  <c r="O133" i="31"/>
  <c r="Q134" i="31"/>
  <c r="Q93" i="31"/>
  <c r="Q48" i="31"/>
  <c r="Q51" i="31" s="1"/>
  <c r="I88" i="31"/>
  <c r="N89" i="31"/>
  <c r="H91" i="31"/>
  <c r="M92" i="31"/>
  <c r="L118" i="31"/>
  <c r="L4" i="31"/>
  <c r="J138" i="31"/>
  <c r="K18" i="31"/>
  <c r="K31" i="31" s="1"/>
  <c r="M142" i="31"/>
  <c r="M108" i="31"/>
  <c r="J32" i="31"/>
  <c r="P133" i="31"/>
  <c r="P131" i="31"/>
  <c r="P105" i="31"/>
  <c r="J4" i="31"/>
  <c r="N4" i="31"/>
  <c r="R4" i="31"/>
  <c r="R114" i="31" s="1"/>
  <c r="K137" i="31"/>
  <c r="K103" i="31"/>
  <c r="K104" i="31"/>
  <c r="O137" i="31"/>
  <c r="O103" i="31"/>
  <c r="O104" i="31"/>
  <c r="H110" i="31"/>
  <c r="H138" i="31"/>
  <c r="L110" i="31"/>
  <c r="L138" i="31"/>
  <c r="P110" i="31"/>
  <c r="P138" i="31"/>
  <c r="M18" i="31"/>
  <c r="Q18" i="31"/>
  <c r="K114" i="31"/>
  <c r="K108" i="31"/>
  <c r="K142" i="31"/>
  <c r="O114" i="31"/>
  <c r="O142" i="31"/>
  <c r="I116" i="31"/>
  <c r="I117" i="31"/>
  <c r="I89" i="31"/>
  <c r="M116" i="31"/>
  <c r="M117" i="31"/>
  <c r="M89" i="31"/>
  <c r="M113" i="31"/>
  <c r="Q116" i="31"/>
  <c r="Q117" i="31"/>
  <c r="Q112" i="31"/>
  <c r="Q89" i="31"/>
  <c r="Q128" i="31"/>
  <c r="J131" i="31"/>
  <c r="J118" i="31"/>
  <c r="J133" i="31"/>
  <c r="N131" i="31"/>
  <c r="N118" i="31"/>
  <c r="R131" i="31"/>
  <c r="R118" i="31"/>
  <c r="H46" i="31"/>
  <c r="L46" i="31"/>
  <c r="P46" i="31"/>
  <c r="I57" i="31"/>
  <c r="I73" i="31" s="1"/>
  <c r="K89" i="31"/>
  <c r="M91" i="31"/>
  <c r="N97" i="31"/>
  <c r="N98" i="31" s="1"/>
  <c r="H103" i="31"/>
  <c r="P103" i="31"/>
  <c r="M104" i="31"/>
  <c r="J105" i="31"/>
  <c r="R105" i="31"/>
  <c r="L108" i="31"/>
  <c r="O112" i="31"/>
  <c r="K117" i="31"/>
  <c r="N133" i="31"/>
  <c r="R141" i="30"/>
  <c r="Q141" i="30"/>
  <c r="P141" i="30"/>
  <c r="O141" i="30"/>
  <c r="N141" i="30"/>
  <c r="M141" i="30"/>
  <c r="L141" i="30"/>
  <c r="K141" i="30"/>
  <c r="J141" i="30"/>
  <c r="I141" i="30"/>
  <c r="H141" i="30"/>
  <c r="R140" i="30"/>
  <c r="Q140" i="30"/>
  <c r="P140" i="30"/>
  <c r="O140" i="30"/>
  <c r="N140" i="30"/>
  <c r="M140" i="30"/>
  <c r="L140" i="30"/>
  <c r="K140" i="30"/>
  <c r="J140" i="30"/>
  <c r="I140" i="30"/>
  <c r="H140" i="30"/>
  <c r="R135" i="30"/>
  <c r="Q135" i="30"/>
  <c r="P135" i="30"/>
  <c r="O135" i="30"/>
  <c r="N135" i="30"/>
  <c r="R130" i="30"/>
  <c r="Q130" i="30"/>
  <c r="P130" i="30"/>
  <c r="O130" i="30"/>
  <c r="N130" i="30"/>
  <c r="M130" i="30"/>
  <c r="L130" i="30"/>
  <c r="K130" i="30"/>
  <c r="J130" i="30"/>
  <c r="I130" i="30"/>
  <c r="H130" i="30"/>
  <c r="R129" i="30"/>
  <c r="Q129" i="30"/>
  <c r="P129" i="30"/>
  <c r="O129" i="30"/>
  <c r="N129" i="30"/>
  <c r="M129" i="30"/>
  <c r="L129" i="30"/>
  <c r="K129" i="30"/>
  <c r="J129" i="30"/>
  <c r="I129" i="30"/>
  <c r="H129" i="30"/>
  <c r="E114" i="30"/>
  <c r="R111" i="30"/>
  <c r="Q111" i="30"/>
  <c r="P111" i="30"/>
  <c r="O111" i="30"/>
  <c r="N111" i="30"/>
  <c r="M111" i="30"/>
  <c r="L111" i="30"/>
  <c r="K111" i="30"/>
  <c r="J111" i="30"/>
  <c r="I111" i="30"/>
  <c r="H111" i="30"/>
  <c r="R101" i="30"/>
  <c r="Q101" i="30"/>
  <c r="P101" i="30"/>
  <c r="O101" i="30"/>
  <c r="N101" i="30"/>
  <c r="M101" i="30"/>
  <c r="L101" i="30"/>
  <c r="K101" i="30"/>
  <c r="J101" i="30"/>
  <c r="I101" i="30"/>
  <c r="H101" i="30"/>
  <c r="R96" i="30"/>
  <c r="Q96" i="30"/>
  <c r="P96" i="30"/>
  <c r="O96" i="30"/>
  <c r="N96" i="30"/>
  <c r="M96" i="30"/>
  <c r="L96" i="30"/>
  <c r="K96" i="30"/>
  <c r="J96" i="30"/>
  <c r="I96" i="30"/>
  <c r="H96" i="30"/>
  <c r="R94" i="30"/>
  <c r="Q94" i="30"/>
  <c r="P94" i="30"/>
  <c r="O94" i="30"/>
  <c r="N94" i="30"/>
  <c r="M94" i="30"/>
  <c r="L94" i="30"/>
  <c r="K94" i="30"/>
  <c r="J94" i="30"/>
  <c r="I94" i="30"/>
  <c r="H94" i="30"/>
  <c r="H87" i="30"/>
  <c r="H95" i="30" s="1"/>
  <c r="R85" i="30"/>
  <c r="Q85" i="30"/>
  <c r="P85" i="30"/>
  <c r="O85" i="30"/>
  <c r="N85" i="30"/>
  <c r="M85" i="30"/>
  <c r="L85" i="30"/>
  <c r="K85" i="30"/>
  <c r="J85" i="30"/>
  <c r="I85" i="30"/>
  <c r="H85" i="30"/>
  <c r="H73" i="30"/>
  <c r="R71" i="30"/>
  <c r="Q71" i="30"/>
  <c r="P71" i="30"/>
  <c r="O71" i="30"/>
  <c r="N71" i="30"/>
  <c r="M71" i="30"/>
  <c r="L71" i="30"/>
  <c r="K71" i="30"/>
  <c r="J71" i="30"/>
  <c r="I71" i="30"/>
  <c r="H71" i="30"/>
  <c r="H57" i="30"/>
  <c r="R52" i="30"/>
  <c r="Q52" i="30"/>
  <c r="P52" i="30"/>
  <c r="O52" i="30"/>
  <c r="N52" i="30"/>
  <c r="R41" i="30"/>
  <c r="R132" i="30" s="1"/>
  <c r="Q41" i="30"/>
  <c r="Q132" i="30" s="1"/>
  <c r="P41" i="30"/>
  <c r="P132" i="30" s="1"/>
  <c r="O41" i="30"/>
  <c r="O132" i="30" s="1"/>
  <c r="N41" i="30"/>
  <c r="N132" i="30" s="1"/>
  <c r="M41" i="30"/>
  <c r="M132" i="30" s="1"/>
  <c r="L41" i="30"/>
  <c r="L132" i="30" s="1"/>
  <c r="K41" i="30"/>
  <c r="K132" i="30" s="1"/>
  <c r="J41" i="30"/>
  <c r="J132" i="30" s="1"/>
  <c r="I41" i="30"/>
  <c r="I132" i="30" s="1"/>
  <c r="H41" i="30"/>
  <c r="H132" i="30" s="1"/>
  <c r="R38" i="30"/>
  <c r="Q38" i="30"/>
  <c r="P38" i="30"/>
  <c r="O38" i="30"/>
  <c r="N38" i="30"/>
  <c r="M38" i="30"/>
  <c r="M105" i="30" s="1"/>
  <c r="L38" i="30"/>
  <c r="K38" i="30"/>
  <c r="J38" i="30"/>
  <c r="I38" i="30"/>
  <c r="H38" i="30"/>
  <c r="H46" i="30" s="1"/>
  <c r="R33" i="30"/>
  <c r="Q33" i="30"/>
  <c r="P33" i="30"/>
  <c r="P89" i="30" s="1"/>
  <c r="O33" i="30"/>
  <c r="O46" i="30" s="1"/>
  <c r="N33" i="30"/>
  <c r="M33" i="30"/>
  <c r="L33" i="30"/>
  <c r="K33" i="30"/>
  <c r="J33" i="30"/>
  <c r="J91" i="30" s="1"/>
  <c r="I33" i="30"/>
  <c r="H33" i="30"/>
  <c r="H89" i="30" s="1"/>
  <c r="I32" i="30"/>
  <c r="I87" i="30" s="1"/>
  <c r="I95" i="30" s="1"/>
  <c r="R27" i="30"/>
  <c r="Q27" i="30"/>
  <c r="P27" i="30"/>
  <c r="O27" i="30"/>
  <c r="N27" i="30"/>
  <c r="M27" i="30"/>
  <c r="L27" i="30"/>
  <c r="K27" i="30"/>
  <c r="J27" i="30"/>
  <c r="I27" i="30"/>
  <c r="H27" i="30"/>
  <c r="R19" i="30"/>
  <c r="Q19" i="30"/>
  <c r="P19" i="30"/>
  <c r="P139" i="30" s="1"/>
  <c r="O19" i="30"/>
  <c r="N19" i="30"/>
  <c r="M19" i="30"/>
  <c r="L19" i="30"/>
  <c r="L139" i="30" s="1"/>
  <c r="K19" i="30"/>
  <c r="J19" i="30"/>
  <c r="I19" i="30"/>
  <c r="H19" i="30"/>
  <c r="H139" i="30" s="1"/>
  <c r="P18" i="30"/>
  <c r="O18" i="30"/>
  <c r="L18" i="30"/>
  <c r="K18" i="30"/>
  <c r="R10" i="30"/>
  <c r="Q10" i="30"/>
  <c r="P10" i="30"/>
  <c r="O10" i="30"/>
  <c r="N10" i="30"/>
  <c r="M10" i="30"/>
  <c r="L10" i="30"/>
  <c r="K10" i="30"/>
  <c r="J10" i="30"/>
  <c r="I10" i="30"/>
  <c r="H10" i="30"/>
  <c r="R5" i="30"/>
  <c r="R103" i="30" s="1"/>
  <c r="Q5" i="30"/>
  <c r="P5" i="30"/>
  <c r="O5" i="30"/>
  <c r="N5" i="30"/>
  <c r="M5" i="30"/>
  <c r="L5" i="30"/>
  <c r="K5" i="30"/>
  <c r="K104" i="30" s="1"/>
  <c r="J5" i="30"/>
  <c r="J103" i="30" s="1"/>
  <c r="I5" i="30"/>
  <c r="H5" i="30"/>
  <c r="P4" i="30"/>
  <c r="L4" i="30"/>
  <c r="H4" i="30"/>
  <c r="L57" i="33" l="1"/>
  <c r="L73" i="33" s="1"/>
  <c r="M32" i="33"/>
  <c r="L87" i="33"/>
  <c r="L95" i="33" s="1"/>
  <c r="K109" i="33"/>
  <c r="K115" i="33" s="1"/>
  <c r="K119" i="33" s="1"/>
  <c r="K127" i="33" s="1"/>
  <c r="K106" i="33"/>
  <c r="L100" i="32"/>
  <c r="L99" i="32"/>
  <c r="Q94" i="32"/>
  <c r="R29" i="32"/>
  <c r="Q27" i="32"/>
  <c r="M109" i="32"/>
  <c r="M115" i="32" s="1"/>
  <c r="M119" i="32" s="1"/>
  <c r="M127" i="32" s="1"/>
  <c r="M106" i="32"/>
  <c r="H135" i="32"/>
  <c r="H52" i="32"/>
  <c r="N135" i="32"/>
  <c r="N52" i="32"/>
  <c r="N87" i="32"/>
  <c r="N95" i="32" s="1"/>
  <c r="N57" i="32"/>
  <c r="N73" i="32" s="1"/>
  <c r="O32" i="32"/>
  <c r="R124" i="32"/>
  <c r="P135" i="32"/>
  <c r="P52" i="32"/>
  <c r="L135" i="32"/>
  <c r="L52" i="32"/>
  <c r="M135" i="32"/>
  <c r="M52" i="32"/>
  <c r="J135" i="32"/>
  <c r="J52" i="32"/>
  <c r="Q135" i="32"/>
  <c r="Q52" i="32"/>
  <c r="P142" i="32"/>
  <c r="P108" i="32"/>
  <c r="P114" i="32"/>
  <c r="P18" i="32"/>
  <c r="P31" i="32" s="1"/>
  <c r="R135" i="32"/>
  <c r="R52" i="32"/>
  <c r="L142" i="32"/>
  <c r="L108" i="32"/>
  <c r="L114" i="32"/>
  <c r="I135" i="32"/>
  <c r="I52" i="32"/>
  <c r="P134" i="31"/>
  <c r="P92" i="31"/>
  <c r="P88" i="31"/>
  <c r="P48" i="31"/>
  <c r="P51" i="31" s="1"/>
  <c r="P93" i="31"/>
  <c r="M102" i="31"/>
  <c r="M90" i="31"/>
  <c r="N136" i="31"/>
  <c r="N107" i="31"/>
  <c r="N31" i="31"/>
  <c r="J102" i="31"/>
  <c r="J90" i="31"/>
  <c r="M100" i="31"/>
  <c r="M99" i="31"/>
  <c r="L100" i="31"/>
  <c r="L99" i="31"/>
  <c r="L134" i="31"/>
  <c r="L92" i="31"/>
  <c r="L88" i="31"/>
  <c r="L48" i="31"/>
  <c r="L51" i="31" s="1"/>
  <c r="L93" i="31"/>
  <c r="I112" i="31"/>
  <c r="J136" i="31"/>
  <c r="J31" i="31"/>
  <c r="J107" i="31"/>
  <c r="J87" i="31"/>
  <c r="J95" i="31" s="1"/>
  <c r="J57" i="31"/>
  <c r="J73" i="31" s="1"/>
  <c r="K32" i="31"/>
  <c r="J110" i="31"/>
  <c r="Q135" i="31"/>
  <c r="Q52" i="31"/>
  <c r="P90" i="31"/>
  <c r="P102" i="31"/>
  <c r="P123" i="31"/>
  <c r="P124" i="31"/>
  <c r="P120" i="31"/>
  <c r="P125" i="31"/>
  <c r="P121" i="31"/>
  <c r="P122" i="31"/>
  <c r="L123" i="31"/>
  <c r="L124" i="31"/>
  <c r="L120" i="31"/>
  <c r="L125" i="31"/>
  <c r="L121" i="31"/>
  <c r="L122" i="31"/>
  <c r="R134" i="31"/>
  <c r="R92" i="31"/>
  <c r="R93" i="31"/>
  <c r="R88" i="31"/>
  <c r="R48" i="31"/>
  <c r="R51" i="31" s="1"/>
  <c r="P136" i="31"/>
  <c r="P107" i="31"/>
  <c r="P31" i="31"/>
  <c r="N110" i="31"/>
  <c r="R99" i="31"/>
  <c r="R100" i="31"/>
  <c r="O90" i="31"/>
  <c r="O102" i="31"/>
  <c r="P100" i="31"/>
  <c r="K99" i="31"/>
  <c r="K100" i="31"/>
  <c r="N114" i="31"/>
  <c r="I107" i="31"/>
  <c r="I136" i="31"/>
  <c r="I31" i="31"/>
  <c r="K102" i="31"/>
  <c r="K90" i="31"/>
  <c r="H134" i="31"/>
  <c r="H92" i="31"/>
  <c r="H88" i="31"/>
  <c r="H48" i="31"/>
  <c r="H51" i="31" s="1"/>
  <c r="H93" i="31"/>
  <c r="Q124" i="31"/>
  <c r="Q120" i="31"/>
  <c r="Q125" i="31"/>
  <c r="Q121" i="31"/>
  <c r="Q122" i="31"/>
  <c r="Q123" i="31"/>
  <c r="N112" i="31"/>
  <c r="R125" i="31"/>
  <c r="R121" i="31"/>
  <c r="R122" i="31"/>
  <c r="R123" i="31"/>
  <c r="R120" i="31"/>
  <c r="R124" i="31"/>
  <c r="I135" i="31"/>
  <c r="I52" i="31"/>
  <c r="Q99" i="31"/>
  <c r="Q100" i="31"/>
  <c r="Q107" i="31"/>
  <c r="Q31" i="31"/>
  <c r="Q136" i="31"/>
  <c r="J134" i="31"/>
  <c r="J92" i="31"/>
  <c r="J48" i="31"/>
  <c r="J51" i="31" s="1"/>
  <c r="J93" i="31"/>
  <c r="J88" i="31"/>
  <c r="H136" i="31"/>
  <c r="H107" i="31"/>
  <c r="H31" i="31"/>
  <c r="J99" i="31"/>
  <c r="J100" i="31"/>
  <c r="I114" i="31"/>
  <c r="H114" i="31"/>
  <c r="I99" i="31"/>
  <c r="I100" i="31"/>
  <c r="N135" i="31"/>
  <c r="N52" i="31"/>
  <c r="H100" i="31"/>
  <c r="H99" i="31"/>
  <c r="N99" i="31"/>
  <c r="N100" i="31"/>
  <c r="I102" i="31"/>
  <c r="I90" i="31"/>
  <c r="K134" i="31"/>
  <c r="K92" i="31"/>
  <c r="K88" i="31"/>
  <c r="K48" i="31"/>
  <c r="K51" i="31" s="1"/>
  <c r="K93" i="31"/>
  <c r="K122" i="31"/>
  <c r="K123" i="31"/>
  <c r="K124" i="31"/>
  <c r="K120" i="31"/>
  <c r="K125" i="31"/>
  <c r="K121" i="31"/>
  <c r="J125" i="31"/>
  <c r="J121" i="31"/>
  <c r="J122" i="31"/>
  <c r="J123" i="31"/>
  <c r="J120" i="31"/>
  <c r="J124" i="31"/>
  <c r="Q102" i="31"/>
  <c r="Q90" i="31"/>
  <c r="M124" i="31"/>
  <c r="M120" i="31"/>
  <c r="M125" i="31"/>
  <c r="M121" i="31"/>
  <c r="M122" i="31"/>
  <c r="M123" i="31"/>
  <c r="I124" i="31"/>
  <c r="I120" i="31"/>
  <c r="I125" i="31"/>
  <c r="I121" i="31"/>
  <c r="I122" i="31"/>
  <c r="I123" i="31"/>
  <c r="R136" i="31"/>
  <c r="R31" i="31"/>
  <c r="R107" i="31"/>
  <c r="L136" i="31"/>
  <c r="L107" i="31"/>
  <c r="L31" i="31"/>
  <c r="N102" i="31"/>
  <c r="N90" i="31"/>
  <c r="N125" i="31"/>
  <c r="N121" i="31"/>
  <c r="N122" i="31"/>
  <c r="N123" i="31"/>
  <c r="N120" i="31"/>
  <c r="N124" i="31"/>
  <c r="L112" i="31"/>
  <c r="R102" i="31"/>
  <c r="R90" i="31"/>
  <c r="O134" i="31"/>
  <c r="O92" i="31"/>
  <c r="O88" i="31"/>
  <c r="O93" i="31"/>
  <c r="O48" i="31"/>
  <c r="O51" i="31" s="1"/>
  <c r="L102" i="31"/>
  <c r="L90" i="31"/>
  <c r="H90" i="31"/>
  <c r="H102" i="31"/>
  <c r="H123" i="31"/>
  <c r="H120" i="31"/>
  <c r="H125" i="31"/>
  <c r="H121" i="31"/>
  <c r="H122" i="31"/>
  <c r="M107" i="31"/>
  <c r="M136" i="31"/>
  <c r="M31" i="31"/>
  <c r="Q114" i="31"/>
  <c r="R110" i="31"/>
  <c r="O99" i="31"/>
  <c r="O100" i="31"/>
  <c r="R112" i="31"/>
  <c r="O122" i="31"/>
  <c r="O123" i="31"/>
  <c r="O124" i="31"/>
  <c r="O120" i="31"/>
  <c r="O125" i="31"/>
  <c r="O121" i="31"/>
  <c r="J112" i="31"/>
  <c r="O134" i="30"/>
  <c r="O48" i="30"/>
  <c r="O93" i="30"/>
  <c r="O88" i="30"/>
  <c r="O92" i="30"/>
  <c r="H92" i="30"/>
  <c r="H88" i="30"/>
  <c r="H134" i="30"/>
  <c r="H93" i="30"/>
  <c r="H48" i="30"/>
  <c r="H51" i="30" s="1"/>
  <c r="H102" i="30"/>
  <c r="H90" i="30"/>
  <c r="P102" i="30"/>
  <c r="P90" i="30"/>
  <c r="H136" i="30"/>
  <c r="H107" i="30"/>
  <c r="M137" i="30"/>
  <c r="M103" i="30"/>
  <c r="M104" i="30"/>
  <c r="R138" i="30"/>
  <c r="I142" i="30"/>
  <c r="I108" i="30"/>
  <c r="M142" i="30"/>
  <c r="M108" i="30"/>
  <c r="Q142" i="30"/>
  <c r="Q108" i="30"/>
  <c r="I116" i="30"/>
  <c r="I128" i="30"/>
  <c r="I89" i="30"/>
  <c r="I91" i="30"/>
  <c r="I117" i="30"/>
  <c r="I113" i="30"/>
  <c r="M116" i="30"/>
  <c r="M128" i="30"/>
  <c r="M89" i="30"/>
  <c r="M117" i="30"/>
  <c r="M113" i="30"/>
  <c r="M91" i="30"/>
  <c r="Q116" i="30"/>
  <c r="Q128" i="30"/>
  <c r="Q112" i="30"/>
  <c r="Q89" i="30"/>
  <c r="Q91" i="30"/>
  <c r="Q117" i="30"/>
  <c r="Q113" i="30"/>
  <c r="J133" i="30"/>
  <c r="J131" i="30"/>
  <c r="J118" i="30"/>
  <c r="J105" i="30"/>
  <c r="N133" i="30"/>
  <c r="N105" i="30"/>
  <c r="N131" i="30"/>
  <c r="N118" i="30"/>
  <c r="R133" i="30"/>
  <c r="R131" i="30"/>
  <c r="R118" i="30"/>
  <c r="M46" i="30"/>
  <c r="I57" i="30"/>
  <c r="I73" i="30" s="1"/>
  <c r="H106" i="30"/>
  <c r="H109" i="30"/>
  <c r="H115" i="30" s="1"/>
  <c r="H119" i="30" s="1"/>
  <c r="H127" i="30" s="1"/>
  <c r="P136" i="30"/>
  <c r="P107" i="30"/>
  <c r="J138" i="30"/>
  <c r="M4" i="30"/>
  <c r="N137" i="30"/>
  <c r="N104" i="30"/>
  <c r="O138" i="30"/>
  <c r="O110" i="30"/>
  <c r="H18" i="30"/>
  <c r="I139" i="30"/>
  <c r="I97" i="30"/>
  <c r="I98" i="30" s="1"/>
  <c r="Q139" i="30"/>
  <c r="Q97" i="30"/>
  <c r="Q98" i="30" s="1"/>
  <c r="J142" i="30"/>
  <c r="J108" i="30"/>
  <c r="J114" i="30"/>
  <c r="N142" i="30"/>
  <c r="N108" i="30"/>
  <c r="R142" i="30"/>
  <c r="R108" i="30"/>
  <c r="I106" i="30"/>
  <c r="I109" i="30"/>
  <c r="I115" i="30" s="1"/>
  <c r="I119" i="30" s="1"/>
  <c r="I127" i="30" s="1"/>
  <c r="J117" i="30"/>
  <c r="J116" i="30"/>
  <c r="J128" i="30"/>
  <c r="J46" i="30"/>
  <c r="J113" i="30"/>
  <c r="J89" i="30"/>
  <c r="N117" i="30"/>
  <c r="N116" i="30"/>
  <c r="N113" i="30"/>
  <c r="N46" i="30"/>
  <c r="N128" i="30"/>
  <c r="N89" i="30"/>
  <c r="R117" i="30"/>
  <c r="R112" i="30"/>
  <c r="R116" i="30"/>
  <c r="R128" i="30"/>
  <c r="R46" i="30"/>
  <c r="R113" i="30"/>
  <c r="R89" i="30"/>
  <c r="K131" i="30"/>
  <c r="K118" i="30"/>
  <c r="K105" i="30"/>
  <c r="K133" i="30"/>
  <c r="O131" i="30"/>
  <c r="O118" i="30"/>
  <c r="O105" i="30"/>
  <c r="O133" i="30"/>
  <c r="I46" i="30"/>
  <c r="N91" i="30"/>
  <c r="H97" i="30"/>
  <c r="H98" i="30" s="1"/>
  <c r="R105" i="30"/>
  <c r="L136" i="30"/>
  <c r="L107" i="30"/>
  <c r="Q137" i="30"/>
  <c r="Q103" i="30"/>
  <c r="Q104" i="30"/>
  <c r="Q4" i="30"/>
  <c r="R137" i="30"/>
  <c r="R104" i="30"/>
  <c r="J4" i="30"/>
  <c r="J110" i="30" s="1"/>
  <c r="R4" i="30"/>
  <c r="O103" i="30"/>
  <c r="O137" i="30"/>
  <c r="L110" i="30"/>
  <c r="L138" i="30"/>
  <c r="I18" i="30"/>
  <c r="Q18" i="30"/>
  <c r="R139" i="30"/>
  <c r="R97" i="30"/>
  <c r="R98" i="30" s="1"/>
  <c r="O114" i="30"/>
  <c r="O142" i="30"/>
  <c r="O108" i="30"/>
  <c r="L31" i="30"/>
  <c r="J32" i="30"/>
  <c r="K113" i="30"/>
  <c r="K117" i="30"/>
  <c r="K116" i="30"/>
  <c r="K91" i="30"/>
  <c r="K89" i="30"/>
  <c r="K128" i="30"/>
  <c r="O113" i="30"/>
  <c r="O117" i="30"/>
  <c r="O91" i="30"/>
  <c r="O128" i="30"/>
  <c r="O116" i="30"/>
  <c r="O89" i="30"/>
  <c r="H131" i="30"/>
  <c r="H118" i="30"/>
  <c r="H133" i="30"/>
  <c r="L131" i="30"/>
  <c r="L118" i="30"/>
  <c r="L133" i="30"/>
  <c r="L105" i="30"/>
  <c r="P131" i="30"/>
  <c r="P118" i="30"/>
  <c r="P133" i="30"/>
  <c r="P105" i="30"/>
  <c r="K46" i="30"/>
  <c r="P46" i="30"/>
  <c r="R91" i="30"/>
  <c r="L97" i="30"/>
  <c r="L98" i="30" s="1"/>
  <c r="O104" i="30"/>
  <c r="I137" i="30"/>
  <c r="I103" i="30"/>
  <c r="I104" i="30"/>
  <c r="N138" i="30"/>
  <c r="I4" i="30"/>
  <c r="I114" i="30" s="1"/>
  <c r="J137" i="30"/>
  <c r="J104" i="30"/>
  <c r="K138" i="30"/>
  <c r="M139" i="30"/>
  <c r="M97" i="30"/>
  <c r="M98" i="30" s="1"/>
  <c r="N4" i="30"/>
  <c r="N112" i="30" s="1"/>
  <c r="K103" i="30"/>
  <c r="K137" i="30"/>
  <c r="H110" i="30"/>
  <c r="H138" i="30"/>
  <c r="P110" i="30"/>
  <c r="P138" i="30"/>
  <c r="M18" i="30"/>
  <c r="J139" i="30"/>
  <c r="J97" i="30"/>
  <c r="J98" i="30" s="1"/>
  <c r="N139" i="30"/>
  <c r="N97" i="30"/>
  <c r="N98" i="30" s="1"/>
  <c r="K142" i="30"/>
  <c r="K108" i="30"/>
  <c r="H31" i="30"/>
  <c r="P31" i="30"/>
  <c r="K4" i="30"/>
  <c r="O4" i="30"/>
  <c r="H104" i="30"/>
  <c r="H137" i="30"/>
  <c r="H103" i="30"/>
  <c r="L137" i="30"/>
  <c r="L104" i="30"/>
  <c r="L103" i="30"/>
  <c r="P137" i="30"/>
  <c r="P104" i="30"/>
  <c r="P103" i="30"/>
  <c r="I138" i="30"/>
  <c r="I110" i="30"/>
  <c r="M138" i="30"/>
  <c r="Q138" i="30"/>
  <c r="Q110" i="30"/>
  <c r="J18" i="30"/>
  <c r="N18" i="30"/>
  <c r="R18" i="30"/>
  <c r="K139" i="30"/>
  <c r="K97" i="30"/>
  <c r="K98" i="30" s="1"/>
  <c r="O139" i="30"/>
  <c r="O97" i="30"/>
  <c r="O98" i="30" s="1"/>
  <c r="H142" i="30"/>
  <c r="H114" i="30"/>
  <c r="H108" i="30"/>
  <c r="L142" i="30"/>
  <c r="L114" i="30"/>
  <c r="L108" i="30"/>
  <c r="P142" i="30"/>
  <c r="P114" i="30"/>
  <c r="P108" i="30"/>
  <c r="H128" i="30"/>
  <c r="H113" i="30"/>
  <c r="H117" i="30"/>
  <c r="H116" i="30"/>
  <c r="H112" i="30"/>
  <c r="H91" i="30"/>
  <c r="L128" i="30"/>
  <c r="L113" i="30"/>
  <c r="L117" i="30"/>
  <c r="L116" i="30"/>
  <c r="L112" i="30"/>
  <c r="L91" i="30"/>
  <c r="P128" i="30"/>
  <c r="P113" i="30"/>
  <c r="P117" i="30"/>
  <c r="P116" i="30"/>
  <c r="P112" i="30"/>
  <c r="P91" i="30"/>
  <c r="I133" i="30"/>
  <c r="I105" i="30"/>
  <c r="I131" i="30"/>
  <c r="I118" i="30"/>
  <c r="M133" i="30"/>
  <c r="M118" i="30"/>
  <c r="M131" i="30"/>
  <c r="Q133" i="30"/>
  <c r="Q131" i="30"/>
  <c r="Q118" i="30"/>
  <c r="Q105" i="30"/>
  <c r="L46" i="30"/>
  <c r="Q46" i="30"/>
  <c r="L89" i="30"/>
  <c r="P97" i="30"/>
  <c r="P98" i="30" s="1"/>
  <c r="N103" i="30"/>
  <c r="H105" i="30"/>
  <c r="R141" i="29"/>
  <c r="Q141" i="29"/>
  <c r="P141" i="29"/>
  <c r="O141" i="29"/>
  <c r="N141" i="29"/>
  <c r="M141" i="29"/>
  <c r="L141" i="29"/>
  <c r="K141" i="29"/>
  <c r="J141" i="29"/>
  <c r="I141" i="29"/>
  <c r="H141" i="29"/>
  <c r="R140" i="29"/>
  <c r="Q140" i="29"/>
  <c r="P140" i="29"/>
  <c r="O140" i="29"/>
  <c r="N140" i="29"/>
  <c r="M140" i="29"/>
  <c r="L140" i="29"/>
  <c r="K140" i="29"/>
  <c r="J140" i="29"/>
  <c r="I140" i="29"/>
  <c r="H140" i="29"/>
  <c r="P134" i="29"/>
  <c r="R130" i="29"/>
  <c r="Q130" i="29"/>
  <c r="P130" i="29"/>
  <c r="O130" i="29"/>
  <c r="N130" i="29"/>
  <c r="M130" i="29"/>
  <c r="L130" i="29"/>
  <c r="K130" i="29"/>
  <c r="J130" i="29"/>
  <c r="I130" i="29"/>
  <c r="H130" i="29"/>
  <c r="R129" i="29"/>
  <c r="Q129" i="29"/>
  <c r="P129" i="29"/>
  <c r="O129" i="29"/>
  <c r="N129" i="29"/>
  <c r="M129" i="29"/>
  <c r="L129" i="29"/>
  <c r="K129" i="29"/>
  <c r="J129" i="29"/>
  <c r="I129" i="29"/>
  <c r="H129" i="29"/>
  <c r="E114" i="29"/>
  <c r="R111" i="29"/>
  <c r="Q111" i="29"/>
  <c r="P111" i="29"/>
  <c r="O111" i="29"/>
  <c r="N111" i="29"/>
  <c r="M111" i="29"/>
  <c r="L111" i="29"/>
  <c r="K111" i="29"/>
  <c r="J111" i="29"/>
  <c r="I111" i="29"/>
  <c r="H111" i="29"/>
  <c r="R101" i="29"/>
  <c r="Q101" i="29"/>
  <c r="P101" i="29"/>
  <c r="O101" i="29"/>
  <c r="N101" i="29"/>
  <c r="M101" i="29"/>
  <c r="L101" i="29"/>
  <c r="K101" i="29"/>
  <c r="J101" i="29"/>
  <c r="I101" i="29"/>
  <c r="H101" i="29"/>
  <c r="R96" i="29"/>
  <c r="Q96" i="29"/>
  <c r="P96" i="29"/>
  <c r="O96" i="29"/>
  <c r="N96" i="29"/>
  <c r="M96" i="29"/>
  <c r="L96" i="29"/>
  <c r="K96" i="29"/>
  <c r="J96" i="29"/>
  <c r="I96" i="29"/>
  <c r="H96" i="29"/>
  <c r="R94" i="29"/>
  <c r="Q94" i="29"/>
  <c r="P94" i="29"/>
  <c r="O94" i="29"/>
  <c r="N94" i="29"/>
  <c r="M94" i="29"/>
  <c r="K94" i="29"/>
  <c r="J94" i="29"/>
  <c r="I94" i="29"/>
  <c r="H94" i="29"/>
  <c r="P92" i="29"/>
  <c r="H87" i="29"/>
  <c r="H95" i="29" s="1"/>
  <c r="R85" i="29"/>
  <c r="Q85" i="29"/>
  <c r="P85" i="29"/>
  <c r="O85" i="29"/>
  <c r="N85" i="29"/>
  <c r="M85" i="29"/>
  <c r="L85" i="29"/>
  <c r="K85" i="29"/>
  <c r="J85" i="29"/>
  <c r="I85" i="29"/>
  <c r="H85" i="29"/>
  <c r="R71" i="29"/>
  <c r="Q71" i="29"/>
  <c r="P71" i="29"/>
  <c r="P88" i="29" s="1"/>
  <c r="O71" i="29"/>
  <c r="N71" i="29"/>
  <c r="M71" i="29"/>
  <c r="L71" i="29"/>
  <c r="K71" i="29"/>
  <c r="J71" i="29"/>
  <c r="I71" i="29"/>
  <c r="H71" i="29"/>
  <c r="H57" i="29"/>
  <c r="H73" i="29" s="1"/>
  <c r="P48" i="29"/>
  <c r="P51" i="29" s="1"/>
  <c r="R41" i="29"/>
  <c r="R132" i="29" s="1"/>
  <c r="Q41" i="29"/>
  <c r="Q132" i="29" s="1"/>
  <c r="P41" i="29"/>
  <c r="P132" i="29" s="1"/>
  <c r="O41" i="29"/>
  <c r="O132" i="29" s="1"/>
  <c r="N41" i="29"/>
  <c r="N132" i="29" s="1"/>
  <c r="M41" i="29"/>
  <c r="M132" i="29" s="1"/>
  <c r="L41" i="29"/>
  <c r="L132" i="29" s="1"/>
  <c r="K41" i="29"/>
  <c r="K132" i="29" s="1"/>
  <c r="J41" i="29"/>
  <c r="J132" i="29" s="1"/>
  <c r="I41" i="29"/>
  <c r="I132" i="29" s="1"/>
  <c r="H41" i="29"/>
  <c r="H132" i="29" s="1"/>
  <c r="R38" i="29"/>
  <c r="Q38" i="29"/>
  <c r="P38" i="29"/>
  <c r="P105" i="29" s="1"/>
  <c r="O38" i="29"/>
  <c r="N38" i="29"/>
  <c r="N105" i="29" s="1"/>
  <c r="M38" i="29"/>
  <c r="L38" i="29"/>
  <c r="L105" i="29" s="1"/>
  <c r="K38" i="29"/>
  <c r="K105" i="29" s="1"/>
  <c r="J38" i="29"/>
  <c r="J105" i="29" s="1"/>
  <c r="I38" i="29"/>
  <c r="H38" i="29"/>
  <c r="H105" i="29" s="1"/>
  <c r="R33" i="29"/>
  <c r="R89" i="29" s="1"/>
  <c r="Q33" i="29"/>
  <c r="P33" i="29"/>
  <c r="O33" i="29"/>
  <c r="O89" i="29" s="1"/>
  <c r="N33" i="29"/>
  <c r="N89" i="29" s="1"/>
  <c r="M33" i="29"/>
  <c r="L33" i="29"/>
  <c r="K33" i="29"/>
  <c r="K89" i="29" s="1"/>
  <c r="J33" i="29"/>
  <c r="J89" i="29" s="1"/>
  <c r="I33" i="29"/>
  <c r="I113" i="29" s="1"/>
  <c r="H33" i="29"/>
  <c r="I32" i="29"/>
  <c r="J32" i="29" s="1"/>
  <c r="L29" i="29"/>
  <c r="L27" i="29" s="1"/>
  <c r="R27" i="29"/>
  <c r="Q27" i="29"/>
  <c r="P27" i="29"/>
  <c r="P108" i="29" s="1"/>
  <c r="O27" i="29"/>
  <c r="O108" i="29" s="1"/>
  <c r="N27" i="29"/>
  <c r="M27" i="29"/>
  <c r="K27" i="29"/>
  <c r="J27" i="29"/>
  <c r="I27" i="29"/>
  <c r="H27" i="29"/>
  <c r="H108" i="29" s="1"/>
  <c r="K21" i="29"/>
  <c r="R19" i="29"/>
  <c r="R139" i="29" s="1"/>
  <c r="Q19" i="29"/>
  <c r="Q139" i="29" s="1"/>
  <c r="P19" i="29"/>
  <c r="P139" i="29" s="1"/>
  <c r="O19" i="29"/>
  <c r="O139" i="29" s="1"/>
  <c r="N19" i="29"/>
  <c r="N139" i="29" s="1"/>
  <c r="M19" i="29"/>
  <c r="M139" i="29" s="1"/>
  <c r="L19" i="29"/>
  <c r="L139" i="29" s="1"/>
  <c r="K19" i="29"/>
  <c r="K139" i="29" s="1"/>
  <c r="J19" i="29"/>
  <c r="J139" i="29" s="1"/>
  <c r="I19" i="29"/>
  <c r="I139" i="29" s="1"/>
  <c r="H19" i="29"/>
  <c r="H139" i="29" s="1"/>
  <c r="Q18" i="29"/>
  <c r="P18" i="29"/>
  <c r="M18" i="29"/>
  <c r="H18" i="29"/>
  <c r="R10" i="29"/>
  <c r="R138" i="29" s="1"/>
  <c r="Q10" i="29"/>
  <c r="Q138" i="29" s="1"/>
  <c r="P10" i="29"/>
  <c r="O10" i="29"/>
  <c r="N10" i="29"/>
  <c r="N138" i="29" s="1"/>
  <c r="M10" i="29"/>
  <c r="M138" i="29" s="1"/>
  <c r="L10" i="29"/>
  <c r="K10" i="29"/>
  <c r="J10" i="29"/>
  <c r="J138" i="29" s="1"/>
  <c r="I10" i="29"/>
  <c r="I138" i="29" s="1"/>
  <c r="H10" i="29"/>
  <c r="R5" i="29"/>
  <c r="R137" i="29" s="1"/>
  <c r="Q5" i="29"/>
  <c r="Q137" i="29" s="1"/>
  <c r="P5" i="29"/>
  <c r="P137" i="29" s="1"/>
  <c r="O5" i="29"/>
  <c r="O137" i="29" s="1"/>
  <c r="N5" i="29"/>
  <c r="N137" i="29" s="1"/>
  <c r="M5" i="29"/>
  <c r="M137" i="29" s="1"/>
  <c r="L5" i="29"/>
  <c r="L137" i="29" s="1"/>
  <c r="K5" i="29"/>
  <c r="K137" i="29" s="1"/>
  <c r="J5" i="29"/>
  <c r="J137" i="29" s="1"/>
  <c r="I5" i="29"/>
  <c r="I137" i="29" s="1"/>
  <c r="H5" i="29"/>
  <c r="H137" i="29" s="1"/>
  <c r="Q4" i="29"/>
  <c r="Q31" i="29" s="1"/>
  <c r="M4" i="29"/>
  <c r="I4" i="29"/>
  <c r="L109" i="33" l="1"/>
  <c r="L115" i="33" s="1"/>
  <c r="L119" i="33" s="1"/>
  <c r="L127" i="33" s="1"/>
  <c r="L106" i="33"/>
  <c r="M87" i="33"/>
  <c r="M95" i="33" s="1"/>
  <c r="M57" i="33"/>
  <c r="M73" i="33" s="1"/>
  <c r="N32" i="33"/>
  <c r="N109" i="32"/>
  <c r="N115" i="32" s="1"/>
  <c r="N119" i="32" s="1"/>
  <c r="N127" i="32" s="1"/>
  <c r="N106" i="32"/>
  <c r="R94" i="32"/>
  <c r="R27" i="32"/>
  <c r="P32" i="32"/>
  <c r="O87" i="32"/>
  <c r="O95" i="32" s="1"/>
  <c r="O57" i="32"/>
  <c r="O73" i="32" s="1"/>
  <c r="Q142" i="32"/>
  <c r="Q114" i="32"/>
  <c r="Q108" i="32"/>
  <c r="Q18" i="32"/>
  <c r="Q31" i="32" s="1"/>
  <c r="Q125" i="32"/>
  <c r="K87" i="31"/>
  <c r="K95" i="31" s="1"/>
  <c r="K57" i="31"/>
  <c r="K73" i="31" s="1"/>
  <c r="L32" i="31"/>
  <c r="L135" i="31"/>
  <c r="L52" i="31"/>
  <c r="P135" i="31"/>
  <c r="P52" i="31"/>
  <c r="O135" i="31"/>
  <c r="O52" i="31"/>
  <c r="J135" i="31"/>
  <c r="J52" i="31"/>
  <c r="H52" i="31"/>
  <c r="H135" i="31"/>
  <c r="K135" i="31"/>
  <c r="K52" i="31"/>
  <c r="R135" i="31"/>
  <c r="R52" i="31"/>
  <c r="J109" i="31"/>
  <c r="J115" i="31" s="1"/>
  <c r="J119" i="31" s="1"/>
  <c r="J127" i="31" s="1"/>
  <c r="J106" i="31"/>
  <c r="H124" i="31"/>
  <c r="K107" i="30"/>
  <c r="K136" i="30"/>
  <c r="K31" i="30"/>
  <c r="M93" i="30"/>
  <c r="M134" i="30"/>
  <c r="M92" i="30"/>
  <c r="M88" i="30"/>
  <c r="M48" i="30"/>
  <c r="M51" i="30" s="1"/>
  <c r="P100" i="30"/>
  <c r="P99" i="30"/>
  <c r="K99" i="30"/>
  <c r="K100" i="30"/>
  <c r="O136" i="30"/>
  <c r="O107" i="30"/>
  <c r="O31" i="30"/>
  <c r="L100" i="30"/>
  <c r="L99" i="30"/>
  <c r="O122" i="30"/>
  <c r="O125" i="30"/>
  <c r="O121" i="30"/>
  <c r="O120" i="30"/>
  <c r="O124" i="30"/>
  <c r="O123" i="30"/>
  <c r="R102" i="30"/>
  <c r="R90" i="30"/>
  <c r="R125" i="30"/>
  <c r="R121" i="30"/>
  <c r="R124" i="30"/>
  <c r="R120" i="30"/>
  <c r="R123" i="30"/>
  <c r="R122" i="30"/>
  <c r="J134" i="30"/>
  <c r="J92" i="30"/>
  <c r="J88" i="30"/>
  <c r="J93" i="30"/>
  <c r="J48" i="30"/>
  <c r="J51" i="30" s="1"/>
  <c r="Q99" i="30"/>
  <c r="Q100" i="30"/>
  <c r="Q90" i="30"/>
  <c r="Q102" i="30"/>
  <c r="M90" i="30"/>
  <c r="M102" i="30"/>
  <c r="J100" i="30"/>
  <c r="J99" i="30"/>
  <c r="K110" i="30"/>
  <c r="K122" i="30"/>
  <c r="K125" i="30"/>
  <c r="K121" i="30"/>
  <c r="K124" i="30"/>
  <c r="K123" i="30"/>
  <c r="K120" i="30"/>
  <c r="M107" i="30"/>
  <c r="M136" i="30"/>
  <c r="M31" i="30"/>
  <c r="Q134" i="30"/>
  <c r="Q93" i="30"/>
  <c r="Q92" i="30"/>
  <c r="Q88" i="30"/>
  <c r="Q48" i="30"/>
  <c r="O99" i="30"/>
  <c r="O100" i="30"/>
  <c r="K114" i="30"/>
  <c r="N107" i="30"/>
  <c r="N136" i="30"/>
  <c r="N31" i="30"/>
  <c r="N110" i="30"/>
  <c r="P92" i="30"/>
  <c r="P88" i="30"/>
  <c r="P134" i="30"/>
  <c r="P93" i="30"/>
  <c r="P48" i="30"/>
  <c r="K112" i="30"/>
  <c r="R100" i="30"/>
  <c r="R99" i="30"/>
  <c r="R107" i="30"/>
  <c r="R136" i="30"/>
  <c r="R31" i="30"/>
  <c r="Q107" i="30"/>
  <c r="Q136" i="30"/>
  <c r="Q31" i="30"/>
  <c r="R134" i="30"/>
  <c r="R92" i="30"/>
  <c r="R88" i="30"/>
  <c r="R93" i="30"/>
  <c r="R48" i="30"/>
  <c r="J102" i="30"/>
  <c r="J90" i="30"/>
  <c r="J125" i="30"/>
  <c r="J121" i="30"/>
  <c r="J124" i="30"/>
  <c r="J120" i="30"/>
  <c r="J123" i="30"/>
  <c r="J122" i="30"/>
  <c r="N114" i="30"/>
  <c r="I99" i="30"/>
  <c r="I100" i="30"/>
  <c r="M124" i="30"/>
  <c r="M120" i="30"/>
  <c r="M123" i="30"/>
  <c r="M125" i="30"/>
  <c r="M122" i="30"/>
  <c r="M121" i="30"/>
  <c r="I102" i="30"/>
  <c r="I90" i="30"/>
  <c r="M114" i="30"/>
  <c r="H135" i="30"/>
  <c r="H52" i="30"/>
  <c r="L102" i="30"/>
  <c r="L90" i="30"/>
  <c r="P123" i="30"/>
  <c r="P122" i="30"/>
  <c r="P125" i="30"/>
  <c r="P124" i="30"/>
  <c r="P121" i="30"/>
  <c r="P120" i="30"/>
  <c r="H123" i="30"/>
  <c r="H122" i="30"/>
  <c r="H125" i="30"/>
  <c r="H124" i="30"/>
  <c r="H121" i="30"/>
  <c r="H120" i="30"/>
  <c r="I107" i="30"/>
  <c r="I136" i="30"/>
  <c r="I31" i="30"/>
  <c r="K32" i="30"/>
  <c r="J87" i="30"/>
  <c r="J95" i="30" s="1"/>
  <c r="J57" i="30"/>
  <c r="J73" i="30" s="1"/>
  <c r="H100" i="30"/>
  <c r="H99" i="30"/>
  <c r="N134" i="30"/>
  <c r="N92" i="30"/>
  <c r="N88" i="30"/>
  <c r="N93" i="30"/>
  <c r="N48" i="30"/>
  <c r="M112" i="30"/>
  <c r="I124" i="30"/>
  <c r="I120" i="30"/>
  <c r="I123" i="30"/>
  <c r="I122" i="30"/>
  <c r="I121" i="30"/>
  <c r="I125" i="30"/>
  <c r="L92" i="30"/>
  <c r="L88" i="30"/>
  <c r="L134" i="30"/>
  <c r="L48" i="30"/>
  <c r="L51" i="30" s="1"/>
  <c r="L93" i="30"/>
  <c r="L123" i="30"/>
  <c r="L122" i="30"/>
  <c r="L121" i="30"/>
  <c r="L120" i="30"/>
  <c r="L125" i="30"/>
  <c r="L124" i="30"/>
  <c r="M110" i="30"/>
  <c r="N100" i="30"/>
  <c r="N99" i="30"/>
  <c r="M99" i="30"/>
  <c r="M100" i="30"/>
  <c r="K134" i="30"/>
  <c r="K48" i="30"/>
  <c r="K51" i="30" s="1"/>
  <c r="K93" i="30"/>
  <c r="K92" i="30"/>
  <c r="K88" i="30"/>
  <c r="O102" i="30"/>
  <c r="O90" i="30"/>
  <c r="O112" i="30"/>
  <c r="K102" i="30"/>
  <c r="K90" i="30"/>
  <c r="J107" i="30"/>
  <c r="J136" i="30"/>
  <c r="J31" i="30"/>
  <c r="I134" i="30"/>
  <c r="I93" i="30"/>
  <c r="I92" i="30"/>
  <c r="I88" i="30"/>
  <c r="I48" i="30"/>
  <c r="I51" i="30" s="1"/>
  <c r="N102" i="30"/>
  <c r="N90" i="30"/>
  <c r="N125" i="30"/>
  <c r="N121" i="30"/>
  <c r="N124" i="30"/>
  <c r="N120" i="30"/>
  <c r="N123" i="30"/>
  <c r="N122" i="30"/>
  <c r="J112" i="30"/>
  <c r="R114" i="30"/>
  <c r="Q124" i="30"/>
  <c r="Q120" i="30"/>
  <c r="Q123" i="30"/>
  <c r="Q122" i="30"/>
  <c r="Q121" i="30"/>
  <c r="Q125" i="30"/>
  <c r="I112" i="30"/>
  <c r="Q114" i="30"/>
  <c r="R110" i="30"/>
  <c r="P135" i="29"/>
  <c r="P52" i="29"/>
  <c r="H106" i="29"/>
  <c r="H109" i="29"/>
  <c r="H115" i="29" s="1"/>
  <c r="H119" i="29" s="1"/>
  <c r="H127" i="29" s="1"/>
  <c r="L142" i="29"/>
  <c r="L108" i="29"/>
  <c r="L18" i="29"/>
  <c r="J102" i="29"/>
  <c r="J90" i="29"/>
  <c r="N102" i="29"/>
  <c r="N90" i="29"/>
  <c r="R102" i="29"/>
  <c r="R90" i="29"/>
  <c r="I31" i="29"/>
  <c r="J87" i="29"/>
  <c r="J95" i="29" s="1"/>
  <c r="J57" i="29"/>
  <c r="J73" i="29" s="1"/>
  <c r="K32" i="29"/>
  <c r="K102" i="29"/>
  <c r="K90" i="29"/>
  <c r="O102" i="29"/>
  <c r="O90" i="29"/>
  <c r="M107" i="29"/>
  <c r="M136" i="29"/>
  <c r="I142" i="29"/>
  <c r="I114" i="29"/>
  <c r="M142" i="29"/>
  <c r="M114" i="29"/>
  <c r="Q142" i="29"/>
  <c r="Q114" i="29"/>
  <c r="M31" i="29"/>
  <c r="H128" i="29"/>
  <c r="H116" i="29"/>
  <c r="H117" i="29"/>
  <c r="H113" i="29"/>
  <c r="L128" i="29"/>
  <c r="L116" i="29"/>
  <c r="L117" i="29"/>
  <c r="L113" i="29"/>
  <c r="P128" i="29"/>
  <c r="P116" i="29"/>
  <c r="P117" i="29"/>
  <c r="P113" i="29"/>
  <c r="I133" i="29"/>
  <c r="I131" i="29"/>
  <c r="I118" i="29"/>
  <c r="M133" i="29"/>
  <c r="M131" i="29"/>
  <c r="M118" i="29"/>
  <c r="Q133" i="29"/>
  <c r="Q131" i="29"/>
  <c r="Q118" i="29"/>
  <c r="K46" i="29"/>
  <c r="O46" i="29"/>
  <c r="H91" i="29"/>
  <c r="L91" i="29"/>
  <c r="P91" i="29"/>
  <c r="J97" i="29"/>
  <c r="J98" i="29" s="1"/>
  <c r="N97" i="29"/>
  <c r="N98" i="29" s="1"/>
  <c r="R97" i="29"/>
  <c r="R98" i="29" s="1"/>
  <c r="H103" i="29"/>
  <c r="L103" i="29"/>
  <c r="P103" i="29"/>
  <c r="I104" i="29"/>
  <c r="M104" i="29"/>
  <c r="Q104" i="29"/>
  <c r="M108" i="29"/>
  <c r="I110" i="29"/>
  <c r="Q110" i="29"/>
  <c r="I107" i="29"/>
  <c r="I136" i="29"/>
  <c r="R4" i="29"/>
  <c r="H138" i="29"/>
  <c r="N142" i="29"/>
  <c r="N108" i="29"/>
  <c r="R142" i="29"/>
  <c r="R108" i="29"/>
  <c r="R114" i="29"/>
  <c r="I116" i="29"/>
  <c r="I117" i="29"/>
  <c r="I112" i="29"/>
  <c r="I128" i="29"/>
  <c r="M116" i="29"/>
  <c r="M117" i="29"/>
  <c r="M112" i="29"/>
  <c r="M128" i="29"/>
  <c r="Q116" i="29"/>
  <c r="Q117" i="29"/>
  <c r="Q112" i="29"/>
  <c r="Q113" i="29"/>
  <c r="Q128" i="29"/>
  <c r="J131" i="29"/>
  <c r="J118" i="29"/>
  <c r="J133" i="29"/>
  <c r="N131" i="29"/>
  <c r="N118" i="29"/>
  <c r="N133" i="29"/>
  <c r="R131" i="29"/>
  <c r="R118" i="29"/>
  <c r="R133" i="29"/>
  <c r="H46" i="29"/>
  <c r="L46" i="29"/>
  <c r="Q46" i="29"/>
  <c r="I57" i="29"/>
  <c r="I73" i="29" s="1"/>
  <c r="I87" i="29"/>
  <c r="I95" i="29" s="1"/>
  <c r="I91" i="29"/>
  <c r="M91" i="29"/>
  <c r="Q91" i="29"/>
  <c r="L94" i="29"/>
  <c r="K97" i="29"/>
  <c r="K98" i="29" s="1"/>
  <c r="O97" i="29"/>
  <c r="O98" i="29" s="1"/>
  <c r="I103" i="29"/>
  <c r="M103" i="29"/>
  <c r="Q103" i="29"/>
  <c r="J104" i="29"/>
  <c r="N104" i="29"/>
  <c r="R104" i="29"/>
  <c r="I108" i="29"/>
  <c r="H112" i="29"/>
  <c r="M113" i="29"/>
  <c r="Q107" i="29"/>
  <c r="Q136" i="29"/>
  <c r="K138" i="29"/>
  <c r="P138" i="29"/>
  <c r="K4" i="29"/>
  <c r="J18" i="29"/>
  <c r="N18" i="29"/>
  <c r="R18" i="29"/>
  <c r="K142" i="29"/>
  <c r="O142" i="29"/>
  <c r="J117" i="29"/>
  <c r="J112" i="29"/>
  <c r="J113" i="29"/>
  <c r="J128" i="29"/>
  <c r="J116" i="29"/>
  <c r="N117" i="29"/>
  <c r="N113" i="29"/>
  <c r="N128" i="29"/>
  <c r="N116" i="29"/>
  <c r="R117" i="29"/>
  <c r="R113" i="29"/>
  <c r="R128" i="29"/>
  <c r="R116" i="29"/>
  <c r="K131" i="29"/>
  <c r="K118" i="29"/>
  <c r="K133" i="29"/>
  <c r="O131" i="29"/>
  <c r="O118" i="29"/>
  <c r="O105" i="29"/>
  <c r="O133" i="29"/>
  <c r="I46" i="29"/>
  <c r="M46" i="29"/>
  <c r="R46" i="29"/>
  <c r="H89" i="29"/>
  <c r="L89" i="29"/>
  <c r="P89" i="29"/>
  <c r="J91" i="29"/>
  <c r="N91" i="29"/>
  <c r="R91" i="29"/>
  <c r="P93" i="29"/>
  <c r="H97" i="29"/>
  <c r="H98" i="29" s="1"/>
  <c r="L97" i="29"/>
  <c r="L98" i="29" s="1"/>
  <c r="P97" i="29"/>
  <c r="P98" i="29" s="1"/>
  <c r="J103" i="29"/>
  <c r="N103" i="29"/>
  <c r="R103" i="29"/>
  <c r="K104" i="29"/>
  <c r="O104" i="29"/>
  <c r="Q105" i="29"/>
  <c r="K108" i="29"/>
  <c r="M110" i="29"/>
  <c r="O110" i="29"/>
  <c r="O138" i="29"/>
  <c r="J4" i="29"/>
  <c r="N4" i="29"/>
  <c r="L138" i="29"/>
  <c r="I18" i="29"/>
  <c r="J142" i="29"/>
  <c r="J108" i="29"/>
  <c r="J114" i="29"/>
  <c r="O4" i="29"/>
  <c r="H4" i="29"/>
  <c r="L4" i="29"/>
  <c r="L114" i="29" s="1"/>
  <c r="P4" i="29"/>
  <c r="K18" i="29"/>
  <c r="O18" i="29"/>
  <c r="H142" i="29"/>
  <c r="H114" i="29"/>
  <c r="P142" i="29"/>
  <c r="K113" i="29"/>
  <c r="K128" i="29"/>
  <c r="K116" i="29"/>
  <c r="K117" i="29"/>
  <c r="K112" i="29"/>
  <c r="O113" i="29"/>
  <c r="O128" i="29"/>
  <c r="O116" i="29"/>
  <c r="O117" i="29"/>
  <c r="O112" i="29"/>
  <c r="H133" i="29"/>
  <c r="H131" i="29"/>
  <c r="H118" i="29"/>
  <c r="L133" i="29"/>
  <c r="L131" i="29"/>
  <c r="L118" i="29"/>
  <c r="P133" i="29"/>
  <c r="P131" i="29"/>
  <c r="P118" i="29"/>
  <c r="J46" i="29"/>
  <c r="N46" i="29"/>
  <c r="I89" i="29"/>
  <c r="M89" i="29"/>
  <c r="Q89" i="29"/>
  <c r="K91" i="29"/>
  <c r="O91" i="29"/>
  <c r="I97" i="29"/>
  <c r="I98" i="29" s="1"/>
  <c r="M97" i="29"/>
  <c r="M98" i="29" s="1"/>
  <c r="Q97" i="29"/>
  <c r="Q98" i="29" s="1"/>
  <c r="K103" i="29"/>
  <c r="O103" i="29"/>
  <c r="H104" i="29"/>
  <c r="L104" i="29"/>
  <c r="P104" i="29"/>
  <c r="I105" i="29"/>
  <c r="M105" i="29"/>
  <c r="R105" i="29"/>
  <c r="Q108" i="29"/>
  <c r="N110" i="29"/>
  <c r="H142" i="28"/>
  <c r="R141" i="28"/>
  <c r="Q141" i="28"/>
  <c r="P141" i="28"/>
  <c r="O141" i="28"/>
  <c r="N141" i="28"/>
  <c r="M141" i="28"/>
  <c r="L141" i="28"/>
  <c r="K141" i="28"/>
  <c r="J141" i="28"/>
  <c r="I141" i="28"/>
  <c r="H141" i="28"/>
  <c r="R140" i="28"/>
  <c r="Q140" i="28"/>
  <c r="P140" i="28"/>
  <c r="O140" i="28"/>
  <c r="N140" i="28"/>
  <c r="M140" i="28"/>
  <c r="L140" i="28"/>
  <c r="K140" i="28"/>
  <c r="J140" i="28"/>
  <c r="I140" i="28"/>
  <c r="H140" i="28"/>
  <c r="P138" i="28"/>
  <c r="L138" i="28"/>
  <c r="H138" i="28"/>
  <c r="K137" i="28"/>
  <c r="R130" i="28"/>
  <c r="Q130" i="28"/>
  <c r="P130" i="28"/>
  <c r="O130" i="28"/>
  <c r="N130" i="28"/>
  <c r="M130" i="28"/>
  <c r="L130" i="28"/>
  <c r="K130" i="28"/>
  <c r="J130" i="28"/>
  <c r="I130" i="28"/>
  <c r="H130" i="28"/>
  <c r="R129" i="28"/>
  <c r="Q129" i="28"/>
  <c r="P129" i="28"/>
  <c r="O129" i="28"/>
  <c r="N129" i="28"/>
  <c r="M129" i="28"/>
  <c r="L129" i="28"/>
  <c r="K129" i="28"/>
  <c r="J129" i="28"/>
  <c r="I129" i="28"/>
  <c r="H129" i="28"/>
  <c r="O128" i="28"/>
  <c r="K123" i="28"/>
  <c r="K120" i="28"/>
  <c r="O116" i="28"/>
  <c r="K116" i="28"/>
  <c r="E114" i="28"/>
  <c r="R113" i="28"/>
  <c r="R111" i="28"/>
  <c r="Q111" i="28"/>
  <c r="P111" i="28"/>
  <c r="O111" i="28"/>
  <c r="N111" i="28"/>
  <c r="M111" i="28"/>
  <c r="L111" i="28"/>
  <c r="K111" i="28"/>
  <c r="J111" i="28"/>
  <c r="I111" i="28"/>
  <c r="H111" i="28"/>
  <c r="M108" i="28"/>
  <c r="H108" i="28"/>
  <c r="Q104" i="28"/>
  <c r="M104" i="28"/>
  <c r="L104" i="28"/>
  <c r="I104" i="28"/>
  <c r="O103" i="28"/>
  <c r="L103" i="28"/>
  <c r="K103" i="28"/>
  <c r="R101" i="28"/>
  <c r="Q101" i="28"/>
  <c r="P101" i="28"/>
  <c r="O101" i="28"/>
  <c r="N101" i="28"/>
  <c r="M101" i="28"/>
  <c r="L101" i="28"/>
  <c r="K101" i="28"/>
  <c r="J101" i="28"/>
  <c r="I101" i="28"/>
  <c r="H101" i="28"/>
  <c r="N98" i="28"/>
  <c r="R97" i="28"/>
  <c r="R98" i="28" s="1"/>
  <c r="N97" i="28"/>
  <c r="K97" i="28"/>
  <c r="K98" i="28" s="1"/>
  <c r="J97" i="28"/>
  <c r="J98" i="28" s="1"/>
  <c r="R96" i="28"/>
  <c r="Q96" i="28"/>
  <c r="P96" i="28"/>
  <c r="O96" i="28"/>
  <c r="N96" i="28"/>
  <c r="M96" i="28"/>
  <c r="L96" i="28"/>
  <c r="K96" i="28"/>
  <c r="J96" i="28"/>
  <c r="I96" i="28"/>
  <c r="H96" i="28"/>
  <c r="R94" i="28"/>
  <c r="Q94" i="28"/>
  <c r="P94" i="28"/>
  <c r="O94" i="28"/>
  <c r="N94" i="28"/>
  <c r="M94" i="28"/>
  <c r="H94" i="28"/>
  <c r="H87" i="28"/>
  <c r="H95" i="28" s="1"/>
  <c r="R85" i="28"/>
  <c r="Q85" i="28"/>
  <c r="P85" i="28"/>
  <c r="O85" i="28"/>
  <c r="N85" i="28"/>
  <c r="M85" i="28"/>
  <c r="L85" i="28"/>
  <c r="K85" i="28"/>
  <c r="J85" i="28"/>
  <c r="I85" i="28"/>
  <c r="H85" i="28"/>
  <c r="R71" i="28"/>
  <c r="Q71" i="28"/>
  <c r="P71" i="28"/>
  <c r="O71" i="28"/>
  <c r="N71" i="28"/>
  <c r="M71" i="28"/>
  <c r="L71" i="28"/>
  <c r="K71" i="28"/>
  <c r="J71" i="28"/>
  <c r="I71" i="28"/>
  <c r="H71" i="28"/>
  <c r="H57" i="28"/>
  <c r="H73" i="28" s="1"/>
  <c r="R41" i="28"/>
  <c r="R132" i="28" s="1"/>
  <c r="Q41" i="28"/>
  <c r="Q132" i="28" s="1"/>
  <c r="P41" i="28"/>
  <c r="P132" i="28" s="1"/>
  <c r="O41" i="28"/>
  <c r="O132" i="28" s="1"/>
  <c r="N41" i="28"/>
  <c r="N132" i="28" s="1"/>
  <c r="M41" i="28"/>
  <c r="M132" i="28" s="1"/>
  <c r="L41" i="28"/>
  <c r="L132" i="28" s="1"/>
  <c r="K41" i="28"/>
  <c r="K132" i="28" s="1"/>
  <c r="J41" i="28"/>
  <c r="J132" i="28" s="1"/>
  <c r="I41" i="28"/>
  <c r="I132" i="28" s="1"/>
  <c r="H41" i="28"/>
  <c r="H132" i="28" s="1"/>
  <c r="R38" i="28"/>
  <c r="R118" i="28" s="1"/>
  <c r="Q38" i="28"/>
  <c r="P38" i="28"/>
  <c r="O38" i="28"/>
  <c r="O133" i="28" s="1"/>
  <c r="N38" i="28"/>
  <c r="N105" i="28" s="1"/>
  <c r="M38" i="28"/>
  <c r="M105" i="28" s="1"/>
  <c r="L38" i="28"/>
  <c r="K38" i="28"/>
  <c r="J38" i="28"/>
  <c r="I38" i="28"/>
  <c r="I133" i="28" s="1"/>
  <c r="H38" i="28"/>
  <c r="R33" i="28"/>
  <c r="Q33" i="28"/>
  <c r="Q91" i="28" s="1"/>
  <c r="P33" i="28"/>
  <c r="P116" i="28" s="1"/>
  <c r="O33" i="28"/>
  <c r="N33" i="28"/>
  <c r="M33" i="28"/>
  <c r="L33" i="28"/>
  <c r="K33" i="28"/>
  <c r="J33" i="28"/>
  <c r="J113" i="28" s="1"/>
  <c r="I33" i="28"/>
  <c r="I91" i="28" s="1"/>
  <c r="H33" i="28"/>
  <c r="H91" i="28" s="1"/>
  <c r="I32" i="28"/>
  <c r="J32" i="28" s="1"/>
  <c r="K32" i="28" s="1"/>
  <c r="M31" i="28"/>
  <c r="J29" i="28"/>
  <c r="J94" i="28" s="1"/>
  <c r="I29" i="28"/>
  <c r="I94" i="28" s="1"/>
  <c r="R27" i="28"/>
  <c r="R18" i="28" s="1"/>
  <c r="Q27" i="28"/>
  <c r="P27" i="28"/>
  <c r="O27" i="28"/>
  <c r="N27" i="28"/>
  <c r="M27" i="28"/>
  <c r="M142" i="28" s="1"/>
  <c r="J27" i="28"/>
  <c r="I27" i="28"/>
  <c r="H27" i="28"/>
  <c r="R19" i="28"/>
  <c r="R139" i="28" s="1"/>
  <c r="Q19" i="28"/>
  <c r="Q18" i="28" s="1"/>
  <c r="P19" i="28"/>
  <c r="P18" i="28" s="1"/>
  <c r="O19" i="28"/>
  <c r="N19" i="28"/>
  <c r="N139" i="28" s="1"/>
  <c r="M19" i="28"/>
  <c r="M18" i="28" s="1"/>
  <c r="L19" i="28"/>
  <c r="K19" i="28"/>
  <c r="K139" i="28" s="1"/>
  <c r="J19" i="28"/>
  <c r="J139" i="28" s="1"/>
  <c r="I19" i="28"/>
  <c r="I97" i="28" s="1"/>
  <c r="I98" i="28" s="1"/>
  <c r="H19" i="28"/>
  <c r="O18" i="28"/>
  <c r="N18" i="28"/>
  <c r="J18" i="28"/>
  <c r="H18" i="28"/>
  <c r="R10" i="28"/>
  <c r="R138" i="28" s="1"/>
  <c r="Q10" i="28"/>
  <c r="P10" i="28"/>
  <c r="O10" i="28"/>
  <c r="O138" i="28" s="1"/>
  <c r="N10" i="28"/>
  <c r="M10" i="28"/>
  <c r="L10" i="28"/>
  <c r="K10" i="28"/>
  <c r="J10" i="28"/>
  <c r="J138" i="28" s="1"/>
  <c r="I10" i="28"/>
  <c r="H10" i="28"/>
  <c r="R5" i="28"/>
  <c r="Q5" i="28"/>
  <c r="P5" i="28"/>
  <c r="P137" i="28" s="1"/>
  <c r="O5" i="28"/>
  <c r="O137" i="28" s="1"/>
  <c r="N5" i="28"/>
  <c r="M5" i="28"/>
  <c r="L5" i="28"/>
  <c r="L137" i="28" s="1"/>
  <c r="K5" i="28"/>
  <c r="K104" i="28" s="1"/>
  <c r="J5" i="28"/>
  <c r="I5" i="28"/>
  <c r="H5" i="28"/>
  <c r="H137" i="28" s="1"/>
  <c r="Q4" i="28"/>
  <c r="Q31" i="28" s="1"/>
  <c r="P4" i="28"/>
  <c r="M4" i="28"/>
  <c r="L4" i="28"/>
  <c r="K4" i="28"/>
  <c r="K136" i="28" s="1"/>
  <c r="H4" i="28"/>
  <c r="H107" i="28" s="1"/>
  <c r="M106" i="33" l="1"/>
  <c r="M109" i="33"/>
  <c r="M115" i="33" s="1"/>
  <c r="M119" i="33" s="1"/>
  <c r="M127" i="33" s="1"/>
  <c r="N57" i="33"/>
  <c r="N73" i="33" s="1"/>
  <c r="O32" i="33"/>
  <c r="N87" i="33"/>
  <c r="N95" i="33" s="1"/>
  <c r="R142" i="32"/>
  <c r="R114" i="32"/>
  <c r="R108" i="32"/>
  <c r="R18" i="32"/>
  <c r="R31" i="32" s="1"/>
  <c r="R125" i="32"/>
  <c r="Q32" i="32"/>
  <c r="P87" i="32"/>
  <c r="P95" i="32" s="1"/>
  <c r="P57" i="32"/>
  <c r="P73" i="32" s="1"/>
  <c r="O106" i="32"/>
  <c r="O109" i="32"/>
  <c r="O115" i="32" s="1"/>
  <c r="O119" i="32" s="1"/>
  <c r="O127" i="32" s="1"/>
  <c r="K109" i="31"/>
  <c r="K115" i="31" s="1"/>
  <c r="K119" i="31" s="1"/>
  <c r="K127" i="31" s="1"/>
  <c r="K106" i="31"/>
  <c r="M32" i="31"/>
  <c r="L87" i="31"/>
  <c r="L95" i="31" s="1"/>
  <c r="L57" i="31"/>
  <c r="L73" i="31" s="1"/>
  <c r="I135" i="30"/>
  <c r="I52" i="30"/>
  <c r="J52" i="30"/>
  <c r="J135" i="30"/>
  <c r="M135" i="30"/>
  <c r="M52" i="30"/>
  <c r="K135" i="30"/>
  <c r="K52" i="30"/>
  <c r="J109" i="30"/>
  <c r="J115" i="30" s="1"/>
  <c r="J119" i="30" s="1"/>
  <c r="J127" i="30" s="1"/>
  <c r="J106" i="30"/>
  <c r="L135" i="30"/>
  <c r="L52" i="30"/>
  <c r="K87" i="30"/>
  <c r="K95" i="30" s="1"/>
  <c r="K57" i="30"/>
  <c r="K73" i="30" s="1"/>
  <c r="L32" i="30"/>
  <c r="I102" i="29"/>
  <c r="I90" i="29"/>
  <c r="P136" i="29"/>
  <c r="P31" i="29"/>
  <c r="P107" i="29"/>
  <c r="L100" i="29"/>
  <c r="L99" i="29"/>
  <c r="H102" i="29"/>
  <c r="H90" i="29"/>
  <c r="N125" i="29"/>
  <c r="N121" i="29"/>
  <c r="N122" i="29"/>
  <c r="N123" i="29"/>
  <c r="N124" i="29"/>
  <c r="N120" i="29"/>
  <c r="K99" i="29"/>
  <c r="K100" i="29"/>
  <c r="L134" i="29"/>
  <c r="L92" i="29"/>
  <c r="L88" i="29"/>
  <c r="L48" i="29"/>
  <c r="L51" i="29" s="1"/>
  <c r="L93" i="29"/>
  <c r="R136" i="29"/>
  <c r="R107" i="29"/>
  <c r="R31" i="29"/>
  <c r="R99" i="29"/>
  <c r="R100" i="29"/>
  <c r="J109" i="29"/>
  <c r="J115" i="29" s="1"/>
  <c r="J119" i="29" s="1"/>
  <c r="J127" i="29" s="1"/>
  <c r="J106" i="29"/>
  <c r="N134" i="29"/>
  <c r="N92" i="29"/>
  <c r="N88" i="29"/>
  <c r="N48" i="29"/>
  <c r="N51" i="29" s="1"/>
  <c r="N93" i="29"/>
  <c r="J125" i="29"/>
  <c r="J121" i="29"/>
  <c r="J122" i="29"/>
  <c r="J123" i="29"/>
  <c r="J124" i="29"/>
  <c r="J120" i="29"/>
  <c r="K136" i="29"/>
  <c r="K107" i="29"/>
  <c r="K31" i="29"/>
  <c r="I109" i="29"/>
  <c r="I115" i="29" s="1"/>
  <c r="I119" i="29" s="1"/>
  <c r="I127" i="29" s="1"/>
  <c r="I106" i="29"/>
  <c r="N99" i="29"/>
  <c r="N100" i="29"/>
  <c r="Q99" i="29"/>
  <c r="Q100" i="29"/>
  <c r="R134" i="29"/>
  <c r="R92" i="29"/>
  <c r="R88" i="29"/>
  <c r="R48" i="29"/>
  <c r="R51" i="29" s="1"/>
  <c r="R93" i="29"/>
  <c r="K110" i="29"/>
  <c r="P112" i="29"/>
  <c r="M99" i="29"/>
  <c r="M100" i="29"/>
  <c r="Q102" i="29"/>
  <c r="Q90" i="29"/>
  <c r="J134" i="29"/>
  <c r="J92" i="29"/>
  <c r="J88" i="29"/>
  <c r="J48" i="29"/>
  <c r="J51" i="29" s="1"/>
  <c r="J93" i="29"/>
  <c r="O122" i="29"/>
  <c r="O123" i="29"/>
  <c r="O124" i="29"/>
  <c r="O120" i="29"/>
  <c r="O125" i="29"/>
  <c r="O121" i="29"/>
  <c r="P114" i="29"/>
  <c r="H136" i="29"/>
  <c r="H31" i="29"/>
  <c r="H107" i="29"/>
  <c r="N136" i="29"/>
  <c r="N31" i="29"/>
  <c r="N107" i="29"/>
  <c r="L112" i="29"/>
  <c r="P102" i="29"/>
  <c r="P90" i="29"/>
  <c r="M134" i="29"/>
  <c r="M93" i="29"/>
  <c r="M92" i="29"/>
  <c r="M88" i="29"/>
  <c r="M48" i="29"/>
  <c r="M51" i="29" s="1"/>
  <c r="R112" i="29"/>
  <c r="R110" i="29"/>
  <c r="J99" i="29"/>
  <c r="J100" i="29"/>
  <c r="O134" i="29"/>
  <c r="O92" i="29"/>
  <c r="O88" i="29"/>
  <c r="O48" i="29"/>
  <c r="O51" i="29" s="1"/>
  <c r="O93" i="29"/>
  <c r="K87" i="29"/>
  <c r="K95" i="29" s="1"/>
  <c r="K57" i="29"/>
  <c r="K73" i="29" s="1"/>
  <c r="L32" i="29"/>
  <c r="L136" i="29"/>
  <c r="L107" i="29"/>
  <c r="L31" i="29"/>
  <c r="L110" i="29"/>
  <c r="H100" i="29"/>
  <c r="H99" i="29"/>
  <c r="K114" i="29"/>
  <c r="H134" i="29"/>
  <c r="H92" i="29"/>
  <c r="H88" i="29"/>
  <c r="H48" i="29"/>
  <c r="H51" i="29" s="1"/>
  <c r="H93" i="29"/>
  <c r="I99" i="29"/>
  <c r="I100" i="29"/>
  <c r="M102" i="29"/>
  <c r="M90" i="29"/>
  <c r="K122" i="29"/>
  <c r="K123" i="29"/>
  <c r="K124" i="29"/>
  <c r="K120" i="29"/>
  <c r="K125" i="29"/>
  <c r="K121" i="29"/>
  <c r="O136" i="29"/>
  <c r="O31" i="29"/>
  <c r="O107" i="29"/>
  <c r="J136" i="29"/>
  <c r="J107" i="29"/>
  <c r="J31" i="29"/>
  <c r="P100" i="29"/>
  <c r="P99" i="29"/>
  <c r="L102" i="29"/>
  <c r="L90" i="29"/>
  <c r="I134" i="29"/>
  <c r="I93" i="29"/>
  <c r="I92" i="29"/>
  <c r="I88" i="29"/>
  <c r="I48" i="29"/>
  <c r="I51" i="29" s="1"/>
  <c r="R125" i="29"/>
  <c r="R121" i="29"/>
  <c r="R122" i="29"/>
  <c r="R123" i="29"/>
  <c r="R124" i="29"/>
  <c r="R120" i="29"/>
  <c r="N112" i="29"/>
  <c r="O114" i="29"/>
  <c r="P110" i="29"/>
  <c r="J110" i="29"/>
  <c r="O99" i="29"/>
  <c r="O100" i="29"/>
  <c r="Q134" i="29"/>
  <c r="Q93" i="29"/>
  <c r="Q92" i="29"/>
  <c r="Q88" i="29"/>
  <c r="Q48" i="29"/>
  <c r="Q51" i="29" s="1"/>
  <c r="Q124" i="29"/>
  <c r="Q120" i="29"/>
  <c r="Q125" i="29"/>
  <c r="Q121" i="29"/>
  <c r="Q122" i="29"/>
  <c r="Q123" i="29"/>
  <c r="M124" i="29"/>
  <c r="M120" i="29"/>
  <c r="M125" i="29"/>
  <c r="M121" i="29"/>
  <c r="M122" i="29"/>
  <c r="M123" i="29"/>
  <c r="I124" i="29"/>
  <c r="I120" i="29"/>
  <c r="I125" i="29"/>
  <c r="I121" i="29"/>
  <c r="I122" i="29"/>
  <c r="I123" i="29"/>
  <c r="N114" i="29"/>
  <c r="H110" i="29"/>
  <c r="K134" i="29"/>
  <c r="K92" i="29"/>
  <c r="K88" i="29"/>
  <c r="K48" i="29"/>
  <c r="K51" i="29" s="1"/>
  <c r="K93" i="29"/>
  <c r="P123" i="29"/>
  <c r="P124" i="29"/>
  <c r="P120" i="29"/>
  <c r="P125" i="29"/>
  <c r="P121" i="29"/>
  <c r="P122" i="29"/>
  <c r="L123" i="29"/>
  <c r="L124" i="29"/>
  <c r="L120" i="29"/>
  <c r="L125" i="29"/>
  <c r="L121" i="29"/>
  <c r="L122" i="29"/>
  <c r="H123" i="29"/>
  <c r="H124" i="29"/>
  <c r="H120" i="29"/>
  <c r="H125" i="29"/>
  <c r="H121" i="29"/>
  <c r="H122" i="29"/>
  <c r="P123" i="28"/>
  <c r="P122" i="28"/>
  <c r="P120" i="28"/>
  <c r="P125" i="28"/>
  <c r="P124" i="28"/>
  <c r="P121" i="28"/>
  <c r="H109" i="28"/>
  <c r="H115" i="28" s="1"/>
  <c r="H119" i="28" s="1"/>
  <c r="H127" i="28" s="1"/>
  <c r="H106" i="28"/>
  <c r="K100" i="28"/>
  <c r="K99" i="28"/>
  <c r="I99" i="28"/>
  <c r="I100" i="28"/>
  <c r="R99" i="28"/>
  <c r="K57" i="28"/>
  <c r="K73" i="28" s="1"/>
  <c r="L32" i="28"/>
  <c r="K87" i="28"/>
  <c r="K95" i="28" s="1"/>
  <c r="J99" i="28"/>
  <c r="P136" i="28"/>
  <c r="P31" i="28"/>
  <c r="K138" i="28"/>
  <c r="K110" i="28"/>
  <c r="H139" i="28"/>
  <c r="H97" i="28"/>
  <c r="H98" i="28" s="1"/>
  <c r="I142" i="28"/>
  <c r="I108" i="28"/>
  <c r="L128" i="28"/>
  <c r="L113" i="28"/>
  <c r="L116" i="28"/>
  <c r="L112" i="28"/>
  <c r="L89" i="28"/>
  <c r="Q133" i="28"/>
  <c r="Q131" i="28"/>
  <c r="L46" i="28"/>
  <c r="M116" i="28"/>
  <c r="M128" i="28"/>
  <c r="J131" i="28"/>
  <c r="J133" i="28"/>
  <c r="H46" i="28"/>
  <c r="M46" i="28"/>
  <c r="I89" i="28"/>
  <c r="Q105" i="28"/>
  <c r="M107" i="28"/>
  <c r="M136" i="28"/>
  <c r="I138" i="28"/>
  <c r="I110" i="28"/>
  <c r="Q138" i="28"/>
  <c r="Q110" i="28"/>
  <c r="P114" i="28"/>
  <c r="P142" i="28"/>
  <c r="N117" i="28"/>
  <c r="N116" i="28"/>
  <c r="N91" i="28"/>
  <c r="N46" i="28"/>
  <c r="N113" i="28"/>
  <c r="K131" i="28"/>
  <c r="K118" i="28"/>
  <c r="K133" i="28"/>
  <c r="K105" i="28"/>
  <c r="O46" i="28"/>
  <c r="J89" i="28"/>
  <c r="J100" i="28" s="1"/>
  <c r="O89" i="28"/>
  <c r="O91" i="28"/>
  <c r="M97" i="28"/>
  <c r="M98" i="28" s="1"/>
  <c r="P103" i="28"/>
  <c r="J105" i="28"/>
  <c r="R105" i="28"/>
  <c r="P108" i="28"/>
  <c r="P112" i="28"/>
  <c r="O122" i="28"/>
  <c r="O125" i="28"/>
  <c r="O121" i="28"/>
  <c r="O123" i="28"/>
  <c r="O120" i="28"/>
  <c r="I4" i="28"/>
  <c r="I114" i="28" s="1"/>
  <c r="O4" i="28"/>
  <c r="I137" i="28"/>
  <c r="I103" i="28"/>
  <c r="M137" i="28"/>
  <c r="M103" i="28"/>
  <c r="Q137" i="28"/>
  <c r="Q103" i="28"/>
  <c r="N138" i="28"/>
  <c r="O139" i="28"/>
  <c r="O97" i="28"/>
  <c r="O98" i="28" s="1"/>
  <c r="H114" i="28"/>
  <c r="Q142" i="28"/>
  <c r="Q114" i="28"/>
  <c r="Q108" i="28"/>
  <c r="K29" i="28"/>
  <c r="K46" i="28"/>
  <c r="P46" i="28"/>
  <c r="I57" i="28"/>
  <c r="I73" i="28" s="1"/>
  <c r="K89" i="28"/>
  <c r="Q89" i="28"/>
  <c r="K91" i="28"/>
  <c r="P91" i="28"/>
  <c r="H104" i="28"/>
  <c r="P104" i="28"/>
  <c r="P107" i="28"/>
  <c r="O110" i="28"/>
  <c r="M114" i="28"/>
  <c r="J118" i="28"/>
  <c r="R137" i="28"/>
  <c r="R103" i="28"/>
  <c r="R4" i="28"/>
  <c r="R104" i="28"/>
  <c r="N142" i="28"/>
  <c r="N108" i="28"/>
  <c r="H128" i="28"/>
  <c r="H113" i="28"/>
  <c r="H89" i="28"/>
  <c r="H117" i="28"/>
  <c r="M133" i="28"/>
  <c r="M131" i="28"/>
  <c r="M118" i="28"/>
  <c r="M89" i="28"/>
  <c r="R89" i="28"/>
  <c r="L91" i="28"/>
  <c r="Q97" i="28"/>
  <c r="Q98" i="28" s="1"/>
  <c r="N99" i="28"/>
  <c r="H112" i="28"/>
  <c r="M113" i="28"/>
  <c r="H116" i="28"/>
  <c r="L117" i="28"/>
  <c r="Q118" i="28"/>
  <c r="O124" i="28"/>
  <c r="N128" i="28"/>
  <c r="I131" i="28"/>
  <c r="J137" i="28"/>
  <c r="J103" i="28"/>
  <c r="J4" i="28"/>
  <c r="J104" i="28"/>
  <c r="P139" i="28"/>
  <c r="P97" i="28"/>
  <c r="P98" i="28" s="1"/>
  <c r="R142" i="28"/>
  <c r="R108" i="28"/>
  <c r="R114" i="28"/>
  <c r="P128" i="28"/>
  <c r="P113" i="28"/>
  <c r="P89" i="28"/>
  <c r="P117" i="28"/>
  <c r="Q107" i="28"/>
  <c r="Q136" i="28"/>
  <c r="I139" i="28"/>
  <c r="I18" i="28"/>
  <c r="J142" i="28"/>
  <c r="J108" i="28"/>
  <c r="J114" i="28"/>
  <c r="I116" i="28"/>
  <c r="I128" i="28"/>
  <c r="I117" i="28"/>
  <c r="I113" i="28"/>
  <c r="I112" i="28"/>
  <c r="N131" i="28"/>
  <c r="N133" i="28"/>
  <c r="N118" i="28"/>
  <c r="I87" i="28"/>
  <c r="I95" i="28" s="1"/>
  <c r="N89" i="28"/>
  <c r="N100" i="28" s="1"/>
  <c r="M91" i="28"/>
  <c r="I105" i="28"/>
  <c r="M112" i="28"/>
  <c r="M117" i="28"/>
  <c r="M139" i="28"/>
  <c r="N137" i="28"/>
  <c r="N103" i="28"/>
  <c r="N4" i="28"/>
  <c r="N110" i="28" s="1"/>
  <c r="N104" i="28"/>
  <c r="L139" i="28"/>
  <c r="L97" i="28"/>
  <c r="L98" i="28" s="1"/>
  <c r="Q46" i="28"/>
  <c r="L136" i="28"/>
  <c r="L107" i="28"/>
  <c r="J87" i="28"/>
  <c r="J95" i="28" s="1"/>
  <c r="J57" i="28"/>
  <c r="J73" i="28" s="1"/>
  <c r="Q116" i="28"/>
  <c r="Q128" i="28"/>
  <c r="Q117" i="28"/>
  <c r="Q113" i="28"/>
  <c r="Q112" i="28"/>
  <c r="R131" i="28"/>
  <c r="R133" i="28"/>
  <c r="H136" i="28"/>
  <c r="H31" i="28"/>
  <c r="M138" i="28"/>
  <c r="M110" i="28"/>
  <c r="J117" i="28"/>
  <c r="J112" i="28"/>
  <c r="J116" i="28"/>
  <c r="J91" i="28"/>
  <c r="J46" i="28"/>
  <c r="J128" i="28"/>
  <c r="R117" i="28"/>
  <c r="R112" i="28"/>
  <c r="R116" i="28"/>
  <c r="R91" i="28"/>
  <c r="R46" i="28"/>
  <c r="R128" i="28"/>
  <c r="O131" i="28"/>
  <c r="O118" i="28"/>
  <c r="O105" i="28"/>
  <c r="I46" i="28"/>
  <c r="H103" i="28"/>
  <c r="K107" i="28"/>
  <c r="I118" i="28"/>
  <c r="Q139" i="28"/>
  <c r="K122" i="28"/>
  <c r="K125" i="28"/>
  <c r="K121" i="28"/>
  <c r="K124" i="28"/>
  <c r="H110" i="28"/>
  <c r="L110" i="28"/>
  <c r="P110" i="28"/>
  <c r="O114" i="28"/>
  <c r="O142" i="28"/>
  <c r="O108" i="28"/>
  <c r="K113" i="28"/>
  <c r="K117" i="28"/>
  <c r="K112" i="28"/>
  <c r="O113" i="28"/>
  <c r="O117" i="28"/>
  <c r="O112" i="28"/>
  <c r="H133" i="28"/>
  <c r="H131" i="28"/>
  <c r="H118" i="28"/>
  <c r="L133" i="28"/>
  <c r="L131" i="28"/>
  <c r="L118" i="28"/>
  <c r="P133" i="28"/>
  <c r="P131" i="28"/>
  <c r="P118" i="28"/>
  <c r="O104" i="28"/>
  <c r="H105" i="28"/>
  <c r="L105" i="28"/>
  <c r="P105" i="28"/>
  <c r="K128" i="28"/>
  <c r="Q142" i="27"/>
  <c r="M142" i="27"/>
  <c r="I142" i="27"/>
  <c r="R141" i="27"/>
  <c r="Q141" i="27"/>
  <c r="P141" i="27"/>
  <c r="O141" i="27"/>
  <c r="N141" i="27"/>
  <c r="M141" i="27"/>
  <c r="L141" i="27"/>
  <c r="K141" i="27"/>
  <c r="J141" i="27"/>
  <c r="I141" i="27"/>
  <c r="H141" i="27"/>
  <c r="R140" i="27"/>
  <c r="Q140" i="27"/>
  <c r="P140" i="27"/>
  <c r="O140" i="27"/>
  <c r="N140" i="27"/>
  <c r="M140" i="27"/>
  <c r="L140" i="27"/>
  <c r="K140" i="27"/>
  <c r="J140" i="27"/>
  <c r="I140" i="27"/>
  <c r="H140" i="27"/>
  <c r="R139" i="27"/>
  <c r="O132" i="27"/>
  <c r="N132" i="27"/>
  <c r="J131" i="27"/>
  <c r="I131" i="27"/>
  <c r="R130" i="27"/>
  <c r="Q130" i="27"/>
  <c r="P130" i="27"/>
  <c r="O130" i="27"/>
  <c r="N130" i="27"/>
  <c r="M130" i="27"/>
  <c r="L130" i="27"/>
  <c r="K130" i="27"/>
  <c r="J130" i="27"/>
  <c r="I130" i="27"/>
  <c r="H130" i="27"/>
  <c r="R129" i="27"/>
  <c r="Q129" i="27"/>
  <c r="P129" i="27"/>
  <c r="O129" i="27"/>
  <c r="N129" i="27"/>
  <c r="M129" i="27"/>
  <c r="L129" i="27"/>
  <c r="K129" i="27"/>
  <c r="J129" i="27"/>
  <c r="I129" i="27"/>
  <c r="H129" i="27"/>
  <c r="O128" i="27"/>
  <c r="H125" i="27"/>
  <c r="R118" i="27"/>
  <c r="J118" i="27"/>
  <c r="Q117" i="27"/>
  <c r="P117" i="27"/>
  <c r="M117" i="27"/>
  <c r="I117" i="27"/>
  <c r="H117" i="27"/>
  <c r="P116" i="27"/>
  <c r="P125" i="27" s="1"/>
  <c r="H116" i="27"/>
  <c r="I114" i="27"/>
  <c r="E114" i="27"/>
  <c r="Q113" i="27"/>
  <c r="M113" i="27"/>
  <c r="I113" i="27"/>
  <c r="I112" i="27"/>
  <c r="R111" i="27"/>
  <c r="Q111" i="27"/>
  <c r="P111" i="27"/>
  <c r="O111" i="27"/>
  <c r="N111" i="27"/>
  <c r="M111" i="27"/>
  <c r="L111" i="27"/>
  <c r="K111" i="27"/>
  <c r="J111" i="27"/>
  <c r="I111" i="27"/>
  <c r="H111" i="27"/>
  <c r="Q108" i="27"/>
  <c r="I108" i="27"/>
  <c r="Q105" i="27"/>
  <c r="I105" i="27"/>
  <c r="Q104" i="27"/>
  <c r="M104" i="27"/>
  <c r="I104" i="27"/>
  <c r="H104" i="27"/>
  <c r="R101" i="27"/>
  <c r="Q101" i="27"/>
  <c r="P101" i="27"/>
  <c r="O101" i="27"/>
  <c r="N101" i="27"/>
  <c r="M101" i="27"/>
  <c r="L101" i="27"/>
  <c r="K101" i="27"/>
  <c r="J101" i="27"/>
  <c r="I101" i="27"/>
  <c r="H101" i="27"/>
  <c r="Q97" i="27"/>
  <c r="Q98" i="27" s="1"/>
  <c r="P97" i="27"/>
  <c r="P98" i="27" s="1"/>
  <c r="P99" i="27" s="1"/>
  <c r="L97" i="27"/>
  <c r="I97" i="27"/>
  <c r="I98" i="27" s="1"/>
  <c r="H97" i="27"/>
  <c r="H98" i="27" s="1"/>
  <c r="H99" i="27" s="1"/>
  <c r="R96" i="27"/>
  <c r="Q96" i="27"/>
  <c r="P96" i="27"/>
  <c r="O96" i="27"/>
  <c r="N96" i="27"/>
  <c r="M96" i="27"/>
  <c r="L96" i="27"/>
  <c r="K96" i="27"/>
  <c r="J96" i="27"/>
  <c r="I96" i="27"/>
  <c r="H96" i="27"/>
  <c r="R94" i="27"/>
  <c r="Q94" i="27"/>
  <c r="P94" i="27"/>
  <c r="O94" i="27"/>
  <c r="N94" i="27"/>
  <c r="M94" i="27"/>
  <c r="L94" i="27"/>
  <c r="K94" i="27"/>
  <c r="J94" i="27"/>
  <c r="I94" i="27"/>
  <c r="H94" i="27"/>
  <c r="O91" i="27"/>
  <c r="R89" i="27"/>
  <c r="R90" i="27" s="1"/>
  <c r="M89" i="27"/>
  <c r="M90" i="27" s="1"/>
  <c r="I89" i="27"/>
  <c r="I90" i="27" s="1"/>
  <c r="H89" i="27"/>
  <c r="H87" i="27"/>
  <c r="H95" i="27" s="1"/>
  <c r="R85" i="27"/>
  <c r="Q85" i="27"/>
  <c r="P85" i="27"/>
  <c r="O85" i="27"/>
  <c r="N85" i="27"/>
  <c r="M85" i="27"/>
  <c r="L85" i="27"/>
  <c r="K85" i="27"/>
  <c r="J85" i="27"/>
  <c r="I85" i="27"/>
  <c r="H85" i="27"/>
  <c r="I73" i="27"/>
  <c r="H73" i="27"/>
  <c r="R71" i="27"/>
  <c r="Q71" i="27"/>
  <c r="P71" i="27"/>
  <c r="O71" i="27"/>
  <c r="M71" i="27"/>
  <c r="L71" i="27"/>
  <c r="K71" i="27"/>
  <c r="J71" i="27"/>
  <c r="I71" i="27"/>
  <c r="H71" i="27"/>
  <c r="I57" i="27"/>
  <c r="H57" i="27"/>
  <c r="N46" i="27"/>
  <c r="N48" i="27" s="1"/>
  <c r="N51" i="27" s="1"/>
  <c r="I46" i="27"/>
  <c r="R41" i="27"/>
  <c r="Q41" i="27"/>
  <c r="Q132" i="27" s="1"/>
  <c r="P41" i="27"/>
  <c r="P132" i="27" s="1"/>
  <c r="O41" i="27"/>
  <c r="N41" i="27"/>
  <c r="M41" i="27"/>
  <c r="M132" i="27" s="1"/>
  <c r="L41" i="27"/>
  <c r="L132" i="27" s="1"/>
  <c r="K41" i="27"/>
  <c r="K132" i="27" s="1"/>
  <c r="J41" i="27"/>
  <c r="I41" i="27"/>
  <c r="I132" i="27" s="1"/>
  <c r="H41" i="27"/>
  <c r="H132" i="27" s="1"/>
  <c r="R38" i="27"/>
  <c r="R133" i="27" s="1"/>
  <c r="Q38" i="27"/>
  <c r="P38" i="27"/>
  <c r="O38" i="27"/>
  <c r="N38" i="27"/>
  <c r="N133" i="27" s="1"/>
  <c r="M38" i="27"/>
  <c r="L38" i="27"/>
  <c r="L133" i="27" s="1"/>
  <c r="K38" i="27"/>
  <c r="K133" i="27" s="1"/>
  <c r="J38" i="27"/>
  <c r="J133" i="27" s="1"/>
  <c r="I38" i="27"/>
  <c r="H38" i="27"/>
  <c r="R33" i="27"/>
  <c r="Q33" i="27"/>
  <c r="P33" i="27"/>
  <c r="O33" i="27"/>
  <c r="N33" i="27"/>
  <c r="N91" i="27" s="1"/>
  <c r="M33" i="27"/>
  <c r="L33" i="27"/>
  <c r="K33" i="27"/>
  <c r="K116" i="27" s="1"/>
  <c r="J33" i="27"/>
  <c r="J91" i="27" s="1"/>
  <c r="I33" i="27"/>
  <c r="H33" i="27"/>
  <c r="J32" i="27"/>
  <c r="K32" i="27" s="1"/>
  <c r="I32" i="27"/>
  <c r="I87" i="27" s="1"/>
  <c r="I95" i="27" s="1"/>
  <c r="I31" i="27"/>
  <c r="R27" i="27"/>
  <c r="Q27" i="27"/>
  <c r="P27" i="27"/>
  <c r="P108" i="27" s="1"/>
  <c r="O27" i="27"/>
  <c r="N27" i="27"/>
  <c r="M27" i="27"/>
  <c r="L27" i="27"/>
  <c r="K27" i="27"/>
  <c r="J27" i="27"/>
  <c r="I27" i="27"/>
  <c r="H27" i="27"/>
  <c r="H108" i="27" s="1"/>
  <c r="R19" i="27"/>
  <c r="R97" i="27" s="1"/>
  <c r="R98" i="27" s="1"/>
  <c r="Q19" i="27"/>
  <c r="Q139" i="27" s="1"/>
  <c r="P19" i="27"/>
  <c r="P139" i="27" s="1"/>
  <c r="O19" i="27"/>
  <c r="N19" i="27"/>
  <c r="M19" i="27"/>
  <c r="M139" i="27" s="1"/>
  <c r="L19" i="27"/>
  <c r="L139" i="27" s="1"/>
  <c r="K19" i="27"/>
  <c r="J19" i="27"/>
  <c r="J97" i="27" s="1"/>
  <c r="J98" i="27" s="1"/>
  <c r="I19" i="27"/>
  <c r="I139" i="27" s="1"/>
  <c r="H19" i="27"/>
  <c r="H139" i="27" s="1"/>
  <c r="R18" i="27"/>
  <c r="N18" i="27"/>
  <c r="M18" i="27"/>
  <c r="J18" i="27"/>
  <c r="I18" i="27"/>
  <c r="H18" i="27"/>
  <c r="R10" i="27"/>
  <c r="R138" i="27" s="1"/>
  <c r="Q10" i="27"/>
  <c r="P10" i="27"/>
  <c r="O10" i="27"/>
  <c r="N10" i="27"/>
  <c r="N138" i="27" s="1"/>
  <c r="M10" i="27"/>
  <c r="M138" i="27" s="1"/>
  <c r="L10" i="27"/>
  <c r="L138" i="27" s="1"/>
  <c r="K10" i="27"/>
  <c r="K138" i="27" s="1"/>
  <c r="J10" i="27"/>
  <c r="J138" i="27" s="1"/>
  <c r="I10" i="27"/>
  <c r="H10" i="27"/>
  <c r="R5" i="27"/>
  <c r="R103" i="27" s="1"/>
  <c r="Q5" i="27"/>
  <c r="Q137" i="27" s="1"/>
  <c r="P5" i="27"/>
  <c r="O5" i="27"/>
  <c r="O104" i="27" s="1"/>
  <c r="N5" i="27"/>
  <c r="N103" i="27" s="1"/>
  <c r="M5" i="27"/>
  <c r="M137" i="27" s="1"/>
  <c r="L5" i="27"/>
  <c r="L104" i="27" s="1"/>
  <c r="K5" i="27"/>
  <c r="K137" i="27" s="1"/>
  <c r="J5" i="27"/>
  <c r="I5" i="27"/>
  <c r="I137" i="27" s="1"/>
  <c r="H5" i="27"/>
  <c r="Q4" i="27"/>
  <c r="Q114" i="27" s="1"/>
  <c r="M4" i="27"/>
  <c r="M31" i="27" s="1"/>
  <c r="K4" i="27"/>
  <c r="I4" i="27"/>
  <c r="N106" i="33" l="1"/>
  <c r="N109" i="33"/>
  <c r="N115" i="33" s="1"/>
  <c r="N119" i="33" s="1"/>
  <c r="N127" i="33" s="1"/>
  <c r="O57" i="33"/>
  <c r="O73" i="33" s="1"/>
  <c r="P32" i="33"/>
  <c r="O87" i="33"/>
  <c r="O95" i="33" s="1"/>
  <c r="P109" i="32"/>
  <c r="P115" i="32" s="1"/>
  <c r="P119" i="32" s="1"/>
  <c r="P127" i="32" s="1"/>
  <c r="P106" i="32"/>
  <c r="R32" i="32"/>
  <c r="Q87" i="32"/>
  <c r="Q95" i="32" s="1"/>
  <c r="Q57" i="32"/>
  <c r="Q73" i="32" s="1"/>
  <c r="L106" i="31"/>
  <c r="L109" i="31"/>
  <c r="L115" i="31" s="1"/>
  <c r="L119" i="31" s="1"/>
  <c r="L127" i="31" s="1"/>
  <c r="M57" i="31"/>
  <c r="M73" i="31" s="1"/>
  <c r="N32" i="31"/>
  <c r="M87" i="31"/>
  <c r="M95" i="31" s="1"/>
  <c r="L87" i="30"/>
  <c r="L95" i="30" s="1"/>
  <c r="L57" i="30"/>
  <c r="L73" i="30" s="1"/>
  <c r="M32" i="30"/>
  <c r="K109" i="30"/>
  <c r="K115" i="30" s="1"/>
  <c r="K119" i="30" s="1"/>
  <c r="K127" i="30" s="1"/>
  <c r="K106" i="30"/>
  <c r="K135" i="29"/>
  <c r="K52" i="29"/>
  <c r="Q135" i="29"/>
  <c r="Q52" i="29"/>
  <c r="K109" i="29"/>
  <c r="K115" i="29" s="1"/>
  <c r="K119" i="29" s="1"/>
  <c r="K127" i="29" s="1"/>
  <c r="K106" i="29"/>
  <c r="J135" i="29"/>
  <c r="J52" i="29"/>
  <c r="I135" i="29"/>
  <c r="I52" i="29"/>
  <c r="M32" i="29"/>
  <c r="L87" i="29"/>
  <c r="L95" i="29" s="1"/>
  <c r="L57" i="29"/>
  <c r="L73" i="29" s="1"/>
  <c r="O135" i="29"/>
  <c r="O52" i="29"/>
  <c r="M135" i="29"/>
  <c r="M52" i="29"/>
  <c r="H135" i="29"/>
  <c r="H52" i="29"/>
  <c r="R135" i="29"/>
  <c r="R52" i="29"/>
  <c r="N135" i="29"/>
  <c r="N52" i="29"/>
  <c r="L135" i="29"/>
  <c r="L52" i="29"/>
  <c r="Q124" i="28"/>
  <c r="Q120" i="28"/>
  <c r="Q123" i="28"/>
  <c r="Q125" i="28"/>
  <c r="Q122" i="28"/>
  <c r="Q121" i="28"/>
  <c r="R125" i="28"/>
  <c r="R121" i="28"/>
  <c r="R124" i="28"/>
  <c r="R120" i="28"/>
  <c r="R122" i="28"/>
  <c r="R123" i="28"/>
  <c r="J134" i="28"/>
  <c r="J88" i="28"/>
  <c r="J93" i="28"/>
  <c r="J92" i="28"/>
  <c r="J48" i="28"/>
  <c r="J51" i="28" s="1"/>
  <c r="J107" i="28"/>
  <c r="J136" i="28"/>
  <c r="J110" i="28"/>
  <c r="J31" i="28"/>
  <c r="H123" i="28"/>
  <c r="H122" i="28"/>
  <c r="H120" i="28"/>
  <c r="H125" i="28"/>
  <c r="H121" i="28"/>
  <c r="H124" i="28"/>
  <c r="R102" i="28"/>
  <c r="R90" i="28"/>
  <c r="R107" i="28"/>
  <c r="R31" i="28"/>
  <c r="R136" i="28"/>
  <c r="R110" i="28"/>
  <c r="K90" i="28"/>
  <c r="K102" i="28"/>
  <c r="O136" i="28"/>
  <c r="O107" i="28"/>
  <c r="O31" i="28"/>
  <c r="M99" i="28"/>
  <c r="M100" i="28"/>
  <c r="O134" i="28"/>
  <c r="O92" i="28"/>
  <c r="O88" i="28"/>
  <c r="O48" i="28"/>
  <c r="O51" i="28" s="1"/>
  <c r="O93" i="28"/>
  <c r="N125" i="28"/>
  <c r="N121" i="28"/>
  <c r="N124" i="28"/>
  <c r="N120" i="28"/>
  <c r="N123" i="28"/>
  <c r="N122" i="28"/>
  <c r="I102" i="28"/>
  <c r="I90" i="28"/>
  <c r="L123" i="28"/>
  <c r="L122" i="28"/>
  <c r="L124" i="28"/>
  <c r="L121" i="28"/>
  <c r="L125" i="28"/>
  <c r="L120" i="28"/>
  <c r="I134" i="28"/>
  <c r="I92" i="28"/>
  <c r="I93" i="28"/>
  <c r="I48" i="28"/>
  <c r="I51" i="28" s="1"/>
  <c r="I88" i="28"/>
  <c r="J106" i="28"/>
  <c r="J109" i="28"/>
  <c r="J115" i="28" s="1"/>
  <c r="J119" i="28" s="1"/>
  <c r="J127" i="28" s="1"/>
  <c r="Q134" i="28"/>
  <c r="Q93" i="28"/>
  <c r="Q92" i="28"/>
  <c r="Q48" i="28"/>
  <c r="Q51" i="28" s="1"/>
  <c r="Q88" i="28"/>
  <c r="N107" i="28"/>
  <c r="N136" i="28"/>
  <c r="N31" i="28"/>
  <c r="N90" i="28"/>
  <c r="N102" i="28"/>
  <c r="P100" i="28"/>
  <c r="P99" i="28"/>
  <c r="N114" i="28"/>
  <c r="M102" i="28"/>
  <c r="M90" i="28"/>
  <c r="K27" i="28"/>
  <c r="K94" i="28"/>
  <c r="L29" i="28"/>
  <c r="I107" i="28"/>
  <c r="I136" i="28"/>
  <c r="I31" i="28"/>
  <c r="N112" i="28"/>
  <c r="M134" i="28"/>
  <c r="M93" i="28"/>
  <c r="M88" i="28"/>
  <c r="M92" i="28"/>
  <c r="M48" i="28"/>
  <c r="M51" i="28" s="1"/>
  <c r="R100" i="28"/>
  <c r="R134" i="28"/>
  <c r="R92" i="28"/>
  <c r="R88" i="28"/>
  <c r="R93" i="28"/>
  <c r="R48" i="28"/>
  <c r="R51" i="28" s="1"/>
  <c r="J125" i="28"/>
  <c r="J121" i="28"/>
  <c r="J124" i="28"/>
  <c r="J120" i="28"/>
  <c r="J122" i="28"/>
  <c r="J123" i="28"/>
  <c r="L100" i="28"/>
  <c r="L99" i="28"/>
  <c r="I106" i="28"/>
  <c r="I109" i="28"/>
  <c r="I115" i="28" s="1"/>
  <c r="I119" i="28" s="1"/>
  <c r="I127" i="28" s="1"/>
  <c r="I124" i="28"/>
  <c r="I120" i="28"/>
  <c r="I123" i="28"/>
  <c r="I125" i="28"/>
  <c r="I122" i="28"/>
  <c r="I121" i="28"/>
  <c r="Q99" i="28"/>
  <c r="Q100" i="28"/>
  <c r="H102" i="28"/>
  <c r="H90" i="28"/>
  <c r="P134" i="28"/>
  <c r="P93" i="28"/>
  <c r="P92" i="28"/>
  <c r="P48" i="28"/>
  <c r="P51" i="28" s="1"/>
  <c r="P88" i="28"/>
  <c r="O100" i="28"/>
  <c r="O99" i="28"/>
  <c r="O102" i="28"/>
  <c r="O90" i="28"/>
  <c r="N134" i="28"/>
  <c r="N93" i="28"/>
  <c r="N48" i="28"/>
  <c r="N51" i="28" s="1"/>
  <c r="N88" i="28"/>
  <c r="N92" i="28"/>
  <c r="H93" i="28"/>
  <c r="H92" i="28"/>
  <c r="H48" i="28"/>
  <c r="H51" i="28" s="1"/>
  <c r="H134" i="28"/>
  <c r="H88" i="28"/>
  <c r="M124" i="28"/>
  <c r="M120" i="28"/>
  <c r="M123" i="28"/>
  <c r="M121" i="28"/>
  <c r="M125" i="28"/>
  <c r="M122" i="28"/>
  <c r="L102" i="28"/>
  <c r="L90" i="28"/>
  <c r="H100" i="28"/>
  <c r="H99" i="28"/>
  <c r="K109" i="28"/>
  <c r="K115" i="28" s="1"/>
  <c r="K119" i="28" s="1"/>
  <c r="K127" i="28" s="1"/>
  <c r="K106" i="28"/>
  <c r="P102" i="28"/>
  <c r="P90" i="28"/>
  <c r="Q102" i="28"/>
  <c r="Q90" i="28"/>
  <c r="K134" i="28"/>
  <c r="K92" i="28"/>
  <c r="K88" i="28"/>
  <c r="K48" i="28"/>
  <c r="K51" i="28" s="1"/>
  <c r="K93" i="28"/>
  <c r="J90" i="28"/>
  <c r="J102" i="28"/>
  <c r="L93" i="28"/>
  <c r="L134" i="28"/>
  <c r="L48" i="28"/>
  <c r="L51" i="28" s="1"/>
  <c r="L92" i="28"/>
  <c r="L88" i="28"/>
  <c r="L57" i="28"/>
  <c r="L73" i="28" s="1"/>
  <c r="L87" i="28"/>
  <c r="L95" i="28" s="1"/>
  <c r="M32" i="28"/>
  <c r="J100" i="27"/>
  <c r="J99" i="27"/>
  <c r="R100" i="27"/>
  <c r="R99" i="27"/>
  <c r="I100" i="27"/>
  <c r="I99" i="27"/>
  <c r="N135" i="27"/>
  <c r="N52" i="27"/>
  <c r="L32" i="27"/>
  <c r="K57" i="27"/>
  <c r="K73" i="27" s="1"/>
  <c r="K87" i="27"/>
  <c r="K95" i="27" s="1"/>
  <c r="K121" i="27"/>
  <c r="K120" i="27"/>
  <c r="Q99" i="27"/>
  <c r="J137" i="27"/>
  <c r="J104" i="27"/>
  <c r="O139" i="27"/>
  <c r="O97" i="27"/>
  <c r="O98" i="27" s="1"/>
  <c r="O18" i="27"/>
  <c r="L142" i="27"/>
  <c r="L108" i="27"/>
  <c r="I92" i="27"/>
  <c r="I48" i="27"/>
  <c r="I51" i="27" s="1"/>
  <c r="R4" i="27"/>
  <c r="H138" i="27"/>
  <c r="P138" i="27"/>
  <c r="M114" i="27"/>
  <c r="R117" i="27"/>
  <c r="R112" i="27"/>
  <c r="R116" i="27"/>
  <c r="R113" i="27"/>
  <c r="J46" i="27"/>
  <c r="J87" i="27"/>
  <c r="J95" i="27" s="1"/>
  <c r="I107" i="27"/>
  <c r="I136" i="27"/>
  <c r="H4" i="27"/>
  <c r="H110" i="27" s="1"/>
  <c r="H103" i="27"/>
  <c r="P4" i="27"/>
  <c r="P103" i="27"/>
  <c r="I110" i="27"/>
  <c r="I138" i="27"/>
  <c r="Q110" i="27"/>
  <c r="Q138" i="27"/>
  <c r="P18" i="27"/>
  <c r="N142" i="27"/>
  <c r="N108" i="27"/>
  <c r="O113" i="27"/>
  <c r="O117" i="27"/>
  <c r="O116" i="27"/>
  <c r="O89" i="27"/>
  <c r="H131" i="27"/>
  <c r="H118" i="27"/>
  <c r="H133" i="27"/>
  <c r="P131" i="27"/>
  <c r="P118" i="27"/>
  <c r="P133" i="27"/>
  <c r="K46" i="27"/>
  <c r="K122" i="27" s="1"/>
  <c r="J89" i="27"/>
  <c r="P89" i="27"/>
  <c r="L98" i="27"/>
  <c r="R102" i="27"/>
  <c r="O103" i="27"/>
  <c r="K104" i="27"/>
  <c r="P104" i="27"/>
  <c r="L105" i="27"/>
  <c r="K107" i="27"/>
  <c r="H123" i="27"/>
  <c r="H122" i="27"/>
  <c r="H121" i="27"/>
  <c r="H120" i="27"/>
  <c r="H124" i="27"/>
  <c r="O137" i="27"/>
  <c r="J4" i="27"/>
  <c r="O4" i="27"/>
  <c r="O112" i="27" s="1"/>
  <c r="L18" i="27"/>
  <c r="Q18" i="27"/>
  <c r="N139" i="27"/>
  <c r="N97" i="27"/>
  <c r="N98" i="27" s="1"/>
  <c r="K114" i="27"/>
  <c r="K142" i="27"/>
  <c r="K108" i="27"/>
  <c r="O114" i="27"/>
  <c r="O142" i="27"/>
  <c r="O108" i="27"/>
  <c r="I106" i="27"/>
  <c r="I109" i="27"/>
  <c r="I115" i="27" s="1"/>
  <c r="I119" i="27" s="1"/>
  <c r="I127" i="27" s="1"/>
  <c r="H128" i="27"/>
  <c r="H113" i="27"/>
  <c r="H46" i="27"/>
  <c r="H91" i="27"/>
  <c r="L128" i="27"/>
  <c r="L113" i="27"/>
  <c r="L91" i="27"/>
  <c r="L117" i="27"/>
  <c r="L46" i="27"/>
  <c r="L116" i="27"/>
  <c r="P128" i="27"/>
  <c r="P113" i="27"/>
  <c r="P46" i="27"/>
  <c r="P91" i="27"/>
  <c r="I133" i="27"/>
  <c r="I118" i="27"/>
  <c r="M133" i="27"/>
  <c r="M131" i="27"/>
  <c r="Q133" i="27"/>
  <c r="Q118" i="27"/>
  <c r="J132" i="27"/>
  <c r="J105" i="27"/>
  <c r="N118" i="27"/>
  <c r="N105" i="27"/>
  <c r="R132" i="27"/>
  <c r="R105" i="27"/>
  <c r="M46" i="27"/>
  <c r="R46" i="27"/>
  <c r="J57" i="27"/>
  <c r="J73" i="27" s="1"/>
  <c r="L89" i="27"/>
  <c r="Q89" i="27"/>
  <c r="Q100" i="27" s="1"/>
  <c r="M97" i="27"/>
  <c r="M98" i="27" s="1"/>
  <c r="M102" i="27"/>
  <c r="J103" i="27"/>
  <c r="M105" i="27"/>
  <c r="K110" i="27"/>
  <c r="Q112" i="27"/>
  <c r="M118" i="27"/>
  <c r="J128" i="27"/>
  <c r="R131" i="27"/>
  <c r="K136" i="27"/>
  <c r="P137" i="27"/>
  <c r="J139" i="27"/>
  <c r="R137" i="27"/>
  <c r="R104" i="27"/>
  <c r="H102" i="27"/>
  <c r="H90" i="27"/>
  <c r="I93" i="27"/>
  <c r="K103" i="27"/>
  <c r="H105" i="27"/>
  <c r="P105" i="27"/>
  <c r="P123" i="27"/>
  <c r="P122" i="27"/>
  <c r="P121" i="27"/>
  <c r="P120" i="27"/>
  <c r="P124" i="27"/>
  <c r="K139" i="27"/>
  <c r="K97" i="27"/>
  <c r="K98" i="27" s="1"/>
  <c r="K18" i="27"/>
  <c r="K31" i="27" s="1"/>
  <c r="N134" i="27"/>
  <c r="N92" i="27"/>
  <c r="N88" i="27"/>
  <c r="N93" i="27"/>
  <c r="H109" i="27"/>
  <c r="H115" i="27" s="1"/>
  <c r="H119" i="27" s="1"/>
  <c r="H127" i="27" s="1"/>
  <c r="H106" i="27"/>
  <c r="M107" i="27"/>
  <c r="M136" i="27"/>
  <c r="N117" i="27"/>
  <c r="N116" i="27"/>
  <c r="N128" i="27"/>
  <c r="I88" i="27"/>
  <c r="P100" i="27"/>
  <c r="I102" i="27"/>
  <c r="R128" i="27"/>
  <c r="I134" i="27"/>
  <c r="H137" i="27"/>
  <c r="Q107" i="27"/>
  <c r="Q136" i="27"/>
  <c r="N137" i="27"/>
  <c r="N104" i="27"/>
  <c r="O138" i="27"/>
  <c r="O110" i="27"/>
  <c r="H142" i="27"/>
  <c r="H114" i="27"/>
  <c r="P142" i="27"/>
  <c r="P114" i="27"/>
  <c r="L110" i="27"/>
  <c r="J117" i="27"/>
  <c r="J112" i="27"/>
  <c r="J116" i="27"/>
  <c r="J113" i="27"/>
  <c r="K131" i="27"/>
  <c r="K118" i="27"/>
  <c r="K105" i="27"/>
  <c r="O131" i="27"/>
  <c r="O118" i="27"/>
  <c r="O105" i="27"/>
  <c r="O133" i="27"/>
  <c r="O46" i="27"/>
  <c r="N89" i="27"/>
  <c r="R91" i="27"/>
  <c r="H100" i="27"/>
  <c r="N4" i="27"/>
  <c r="N112" i="27" s="1"/>
  <c r="L137" i="27"/>
  <c r="L4" i="27"/>
  <c r="L103" i="27"/>
  <c r="M110" i="27"/>
  <c r="J142" i="27"/>
  <c r="J108" i="27"/>
  <c r="J114" i="27"/>
  <c r="R142" i="27"/>
  <c r="R108" i="27"/>
  <c r="R114" i="27"/>
  <c r="Q31" i="27"/>
  <c r="K113" i="27"/>
  <c r="K117" i="27"/>
  <c r="K112" i="27"/>
  <c r="K89" i="27"/>
  <c r="K128" i="27"/>
  <c r="L131" i="27"/>
  <c r="L118" i="27"/>
  <c r="Q46" i="27"/>
  <c r="K91" i="27"/>
  <c r="N113" i="27"/>
  <c r="Q131" i="27"/>
  <c r="I116" i="27"/>
  <c r="I128" i="27"/>
  <c r="M116" i="27"/>
  <c r="M128" i="27"/>
  <c r="Q116" i="27"/>
  <c r="Q128" i="27"/>
  <c r="I91" i="27"/>
  <c r="M91" i="27"/>
  <c r="Q91" i="27"/>
  <c r="I103" i="27"/>
  <c r="M103" i="27"/>
  <c r="Q103" i="27"/>
  <c r="M108" i="27"/>
  <c r="M112" i="27"/>
  <c r="N131" i="27"/>
  <c r="P142" i="26"/>
  <c r="H142" i="26"/>
  <c r="R141" i="26"/>
  <c r="Q141" i="26"/>
  <c r="P141" i="26"/>
  <c r="O141" i="26"/>
  <c r="N141" i="26"/>
  <c r="M141" i="26"/>
  <c r="L141" i="26"/>
  <c r="K141" i="26"/>
  <c r="J141" i="26"/>
  <c r="I141" i="26"/>
  <c r="H141" i="26"/>
  <c r="R140" i="26"/>
  <c r="Q140" i="26"/>
  <c r="P140" i="26"/>
  <c r="O140" i="26"/>
  <c r="N140" i="26"/>
  <c r="M140" i="26"/>
  <c r="L140" i="26"/>
  <c r="K140" i="26"/>
  <c r="J140" i="26"/>
  <c r="I140" i="26"/>
  <c r="H140" i="26"/>
  <c r="M130" i="26"/>
  <c r="L130" i="26"/>
  <c r="K130" i="26"/>
  <c r="J130" i="26"/>
  <c r="I130" i="26"/>
  <c r="H130" i="26"/>
  <c r="R129" i="26"/>
  <c r="Q129" i="26"/>
  <c r="P129" i="26"/>
  <c r="O129" i="26"/>
  <c r="M129" i="26"/>
  <c r="L129" i="26"/>
  <c r="K129" i="26"/>
  <c r="J129" i="26"/>
  <c r="I129" i="26"/>
  <c r="H129" i="26"/>
  <c r="K120" i="26"/>
  <c r="K116" i="26"/>
  <c r="E114" i="26"/>
  <c r="I113" i="26"/>
  <c r="R111" i="26"/>
  <c r="Q111" i="26"/>
  <c r="P111" i="26"/>
  <c r="O111" i="26"/>
  <c r="M111" i="26"/>
  <c r="L111" i="26"/>
  <c r="K111" i="26"/>
  <c r="J111" i="26"/>
  <c r="I111" i="26"/>
  <c r="H111" i="26"/>
  <c r="L108" i="26"/>
  <c r="H108" i="26"/>
  <c r="R105" i="26"/>
  <c r="N105" i="26"/>
  <c r="J105" i="26"/>
  <c r="Q104" i="26"/>
  <c r="M104" i="26"/>
  <c r="I104" i="26"/>
  <c r="Q103" i="26"/>
  <c r="M103" i="26"/>
  <c r="L103" i="26"/>
  <c r="I103" i="26"/>
  <c r="R101" i="26"/>
  <c r="Q101" i="26"/>
  <c r="P101" i="26"/>
  <c r="O101" i="26"/>
  <c r="N101" i="26"/>
  <c r="M101" i="26"/>
  <c r="L101" i="26"/>
  <c r="K101" i="26"/>
  <c r="J101" i="26"/>
  <c r="I101" i="26"/>
  <c r="H101" i="26"/>
  <c r="O98" i="26"/>
  <c r="K98" i="26"/>
  <c r="K99" i="26" s="1"/>
  <c r="R97" i="26"/>
  <c r="R98" i="26" s="1"/>
  <c r="O97" i="26"/>
  <c r="M97" i="26"/>
  <c r="M98" i="26" s="1"/>
  <c r="M99" i="26" s="1"/>
  <c r="K97" i="26"/>
  <c r="R96" i="26"/>
  <c r="Q96" i="26"/>
  <c r="P96" i="26"/>
  <c r="O96" i="26"/>
  <c r="N96" i="26"/>
  <c r="M96" i="26"/>
  <c r="L96" i="26"/>
  <c r="K96" i="26"/>
  <c r="J96" i="26"/>
  <c r="I96" i="26"/>
  <c r="H96" i="26"/>
  <c r="H95" i="26"/>
  <c r="R94" i="26"/>
  <c r="Q94" i="26"/>
  <c r="P94" i="26"/>
  <c r="O94" i="26"/>
  <c r="N94" i="26"/>
  <c r="M94" i="26"/>
  <c r="L94" i="26"/>
  <c r="K94" i="26"/>
  <c r="J94" i="26"/>
  <c r="I94" i="26"/>
  <c r="H94" i="26"/>
  <c r="Q93" i="26"/>
  <c r="H87" i="26"/>
  <c r="R85" i="26"/>
  <c r="Q85" i="26"/>
  <c r="P85" i="26"/>
  <c r="O85" i="26"/>
  <c r="N85" i="26"/>
  <c r="M85" i="26"/>
  <c r="L85" i="26"/>
  <c r="K85" i="26"/>
  <c r="J85" i="26"/>
  <c r="I85" i="26"/>
  <c r="H85" i="26"/>
  <c r="R71" i="26"/>
  <c r="Q71" i="26"/>
  <c r="P71" i="26"/>
  <c r="O71" i="26"/>
  <c r="N71" i="26"/>
  <c r="M71" i="26"/>
  <c r="L71" i="26"/>
  <c r="K71" i="26"/>
  <c r="J71" i="26"/>
  <c r="I71" i="26"/>
  <c r="H71" i="26"/>
  <c r="I57" i="26"/>
  <c r="I73" i="26" s="1"/>
  <c r="H57" i="26"/>
  <c r="H73" i="26" s="1"/>
  <c r="Q46" i="26"/>
  <c r="Q134" i="26" s="1"/>
  <c r="P46" i="26"/>
  <c r="P88" i="26" s="1"/>
  <c r="K46" i="26"/>
  <c r="M43" i="26"/>
  <c r="M41" i="26" s="1"/>
  <c r="L43" i="26"/>
  <c r="R41" i="26"/>
  <c r="Q41" i="26"/>
  <c r="Q132" i="26" s="1"/>
  <c r="P41" i="26"/>
  <c r="P132" i="26" s="1"/>
  <c r="O41" i="26"/>
  <c r="O132" i="26" s="1"/>
  <c r="N41" i="26"/>
  <c r="L41" i="26"/>
  <c r="L132" i="26" s="1"/>
  <c r="K41" i="26"/>
  <c r="K132" i="26" s="1"/>
  <c r="J41" i="26"/>
  <c r="J132" i="26" s="1"/>
  <c r="I41" i="26"/>
  <c r="I132" i="26" s="1"/>
  <c r="H41" i="26"/>
  <c r="H132" i="26" s="1"/>
  <c r="R38" i="26"/>
  <c r="R133" i="26" s="1"/>
  <c r="Q38" i="26"/>
  <c r="P38" i="26"/>
  <c r="O38" i="26"/>
  <c r="O118" i="26" s="1"/>
  <c r="N38" i="26"/>
  <c r="N133" i="26" s="1"/>
  <c r="M38" i="26"/>
  <c r="L38" i="26"/>
  <c r="K38" i="26"/>
  <c r="J38" i="26"/>
  <c r="J133" i="26" s="1"/>
  <c r="I38" i="26"/>
  <c r="H38" i="26"/>
  <c r="R36" i="26"/>
  <c r="R33" i="26" s="1"/>
  <c r="Q36" i="26"/>
  <c r="Q130" i="26" s="1"/>
  <c r="P36" i="26"/>
  <c r="P130" i="26" s="1"/>
  <c r="O36" i="26"/>
  <c r="N36" i="26"/>
  <c r="N35" i="26"/>
  <c r="Q33" i="26"/>
  <c r="P33" i="26"/>
  <c r="P117" i="26" s="1"/>
  <c r="N33" i="26"/>
  <c r="N113" i="26" s="1"/>
  <c r="M33" i="26"/>
  <c r="L33" i="26"/>
  <c r="L128" i="26" s="1"/>
  <c r="K33" i="26"/>
  <c r="J33" i="26"/>
  <c r="J117" i="26" s="1"/>
  <c r="I33" i="26"/>
  <c r="H33" i="26"/>
  <c r="I32" i="26"/>
  <c r="N29" i="26"/>
  <c r="R27" i="26"/>
  <c r="R142" i="26" s="1"/>
  <c r="Q27" i="26"/>
  <c r="Q142" i="26" s="1"/>
  <c r="P27" i="26"/>
  <c r="O27" i="26"/>
  <c r="N27" i="26"/>
  <c r="M27" i="26"/>
  <c r="M142" i="26" s="1"/>
  <c r="L27" i="26"/>
  <c r="K27" i="26"/>
  <c r="K114" i="26" s="1"/>
  <c r="J27" i="26"/>
  <c r="I27" i="26"/>
  <c r="I18" i="26" s="1"/>
  <c r="H27" i="26"/>
  <c r="R19" i="26"/>
  <c r="Q19" i="26"/>
  <c r="Q139" i="26" s="1"/>
  <c r="P19" i="26"/>
  <c r="O19" i="26"/>
  <c r="O139" i="26" s="1"/>
  <c r="N19" i="26"/>
  <c r="N97" i="26" s="1"/>
  <c r="N98" i="26" s="1"/>
  <c r="M19" i="26"/>
  <c r="M139" i="26" s="1"/>
  <c r="L19" i="26"/>
  <c r="L18" i="26" s="1"/>
  <c r="K19" i="26"/>
  <c r="K139" i="26" s="1"/>
  <c r="J19" i="26"/>
  <c r="I19" i="26"/>
  <c r="I139" i="26" s="1"/>
  <c r="H19" i="26"/>
  <c r="O18" i="26"/>
  <c r="M18" i="26"/>
  <c r="K18" i="26"/>
  <c r="H18" i="26"/>
  <c r="N15" i="26"/>
  <c r="R10" i="26"/>
  <c r="R138" i="26" s="1"/>
  <c r="Q10" i="26"/>
  <c r="P10" i="26"/>
  <c r="P138" i="26" s="1"/>
  <c r="O10" i="26"/>
  <c r="M10" i="26"/>
  <c r="L10" i="26"/>
  <c r="L138" i="26" s="1"/>
  <c r="K10" i="26"/>
  <c r="K138" i="26" s="1"/>
  <c r="J10" i="26"/>
  <c r="J138" i="26" s="1"/>
  <c r="I10" i="26"/>
  <c r="H10" i="26"/>
  <c r="R5" i="26"/>
  <c r="Q5" i="26"/>
  <c r="Q137" i="26" s="1"/>
  <c r="P5" i="26"/>
  <c r="P104" i="26" s="1"/>
  <c r="O5" i="26"/>
  <c r="O4" i="26" s="1"/>
  <c r="N5" i="26"/>
  <c r="M5" i="26"/>
  <c r="M137" i="26" s="1"/>
  <c r="L5" i="26"/>
  <c r="K5" i="26"/>
  <c r="J5" i="26"/>
  <c r="J4" i="26" s="1"/>
  <c r="I5" i="26"/>
  <c r="I137" i="26" s="1"/>
  <c r="H5" i="26"/>
  <c r="H104" i="26" s="1"/>
  <c r="Q4" i="26"/>
  <c r="Q136" i="26" s="1"/>
  <c r="M4" i="26"/>
  <c r="M136" i="26" s="1"/>
  <c r="K4" i="26"/>
  <c r="I4" i="26"/>
  <c r="O109" i="33" l="1"/>
  <c r="O115" i="33" s="1"/>
  <c r="O119" i="33" s="1"/>
  <c r="O127" i="33" s="1"/>
  <c r="O106" i="33"/>
  <c r="Q32" i="33"/>
  <c r="P87" i="33"/>
  <c r="P95" i="33" s="1"/>
  <c r="P57" i="33"/>
  <c r="P73" i="33" s="1"/>
  <c r="Q109" i="32"/>
  <c r="Q115" i="32" s="1"/>
  <c r="Q119" i="32" s="1"/>
  <c r="Q127" i="32" s="1"/>
  <c r="Q106" i="32"/>
  <c r="R87" i="32"/>
  <c r="R95" i="32" s="1"/>
  <c r="R57" i="32"/>
  <c r="R73" i="32" s="1"/>
  <c r="N87" i="31"/>
  <c r="N95" i="31" s="1"/>
  <c r="N57" i="31"/>
  <c r="N73" i="31" s="1"/>
  <c r="O32" i="31"/>
  <c r="M109" i="31"/>
  <c r="M115" i="31" s="1"/>
  <c r="M119" i="31" s="1"/>
  <c r="M127" i="31" s="1"/>
  <c r="M106" i="31"/>
  <c r="M87" i="30"/>
  <c r="M95" i="30" s="1"/>
  <c r="M57" i="30"/>
  <c r="M73" i="30" s="1"/>
  <c r="N32" i="30"/>
  <c r="L106" i="30"/>
  <c r="L109" i="30"/>
  <c r="L115" i="30" s="1"/>
  <c r="L119" i="30" s="1"/>
  <c r="L127" i="30" s="1"/>
  <c r="L106" i="29"/>
  <c r="L109" i="29"/>
  <c r="L115" i="29" s="1"/>
  <c r="L119" i="29" s="1"/>
  <c r="L127" i="29" s="1"/>
  <c r="N32" i="29"/>
  <c r="M87" i="29"/>
  <c r="M95" i="29" s="1"/>
  <c r="M57" i="29"/>
  <c r="M73" i="29" s="1"/>
  <c r="L106" i="28"/>
  <c r="L109" i="28"/>
  <c r="L115" i="28" s="1"/>
  <c r="L119" i="28" s="1"/>
  <c r="L127" i="28" s="1"/>
  <c r="L135" i="28"/>
  <c r="L52" i="28"/>
  <c r="H135" i="28"/>
  <c r="H52" i="28"/>
  <c r="L27" i="28"/>
  <c r="L94" i="28"/>
  <c r="O135" i="28"/>
  <c r="O52" i="28"/>
  <c r="N135" i="28"/>
  <c r="N52" i="28"/>
  <c r="P135" i="28"/>
  <c r="P52" i="28"/>
  <c r="R135" i="28"/>
  <c r="R52" i="28"/>
  <c r="I52" i="28"/>
  <c r="I135" i="28"/>
  <c r="K135" i="28"/>
  <c r="K52" i="28"/>
  <c r="K114" i="28"/>
  <c r="K142" i="28"/>
  <c r="K108" i="28"/>
  <c r="K18" i="28"/>
  <c r="K31" i="28" s="1"/>
  <c r="Q52" i="28"/>
  <c r="Q135" i="28"/>
  <c r="N32" i="28"/>
  <c r="M87" i="28"/>
  <c r="M95" i="28" s="1"/>
  <c r="M57" i="28"/>
  <c r="M73" i="28" s="1"/>
  <c r="M52" i="28"/>
  <c r="M135" i="28"/>
  <c r="J135" i="28"/>
  <c r="J52" i="28"/>
  <c r="I124" i="27"/>
  <c r="I120" i="27"/>
  <c r="I123" i="27"/>
  <c r="I125" i="27"/>
  <c r="I122" i="27"/>
  <c r="I121" i="27"/>
  <c r="K102" i="27"/>
  <c r="K90" i="27"/>
  <c r="L136" i="27"/>
  <c r="L107" i="27"/>
  <c r="L31" i="27"/>
  <c r="N125" i="27"/>
  <c r="N121" i="27"/>
  <c r="N124" i="27"/>
  <c r="N120" i="27"/>
  <c r="N122" i="27"/>
  <c r="N123" i="27"/>
  <c r="K100" i="27"/>
  <c r="K99" i="27"/>
  <c r="L102" i="27"/>
  <c r="L90" i="27"/>
  <c r="L112" i="27"/>
  <c r="H48" i="27"/>
  <c r="H51" i="27" s="1"/>
  <c r="H134" i="27"/>
  <c r="H88" i="27"/>
  <c r="H93" i="27"/>
  <c r="H92" i="27"/>
  <c r="J107" i="27"/>
  <c r="J31" i="27"/>
  <c r="J136" i="27"/>
  <c r="J110" i="27"/>
  <c r="J102" i="27"/>
  <c r="J90" i="27"/>
  <c r="O102" i="27"/>
  <c r="O90" i="27"/>
  <c r="O100" i="27"/>
  <c r="O99" i="27"/>
  <c r="M120" i="27"/>
  <c r="M122" i="27"/>
  <c r="M121" i="27"/>
  <c r="N102" i="27"/>
  <c r="N90" i="27"/>
  <c r="P134" i="27"/>
  <c r="P88" i="27"/>
  <c r="P93" i="27"/>
  <c r="P92" i="27"/>
  <c r="P48" i="27"/>
  <c r="P51" i="27" s="1"/>
  <c r="L122" i="27"/>
  <c r="L120" i="27"/>
  <c r="L121" i="27"/>
  <c r="K134" i="27"/>
  <c r="K93" i="27"/>
  <c r="K92" i="27"/>
  <c r="K88" i="27"/>
  <c r="K48" i="27"/>
  <c r="K51" i="27" s="1"/>
  <c r="O122" i="27"/>
  <c r="O125" i="27"/>
  <c r="O121" i="27"/>
  <c r="O124" i="27"/>
  <c r="O123" i="27"/>
  <c r="O120" i="27"/>
  <c r="P136" i="27"/>
  <c r="P107" i="27"/>
  <c r="P112" i="27"/>
  <c r="P31" i="27"/>
  <c r="R125" i="27"/>
  <c r="R121" i="27"/>
  <c r="R124" i="27"/>
  <c r="R120" i="27"/>
  <c r="R123" i="27"/>
  <c r="R122" i="27"/>
  <c r="R107" i="27"/>
  <c r="R31" i="27"/>
  <c r="R136" i="27"/>
  <c r="R110" i="27"/>
  <c r="L114" i="27"/>
  <c r="K109" i="27"/>
  <c r="K115" i="27" s="1"/>
  <c r="K119" i="27" s="1"/>
  <c r="K127" i="27" s="1"/>
  <c r="K106" i="27"/>
  <c r="N107" i="27"/>
  <c r="N31" i="27"/>
  <c r="N136" i="27"/>
  <c r="N110" i="27"/>
  <c r="O134" i="27"/>
  <c r="O93" i="27"/>
  <c r="O88" i="27"/>
  <c r="O48" i="27"/>
  <c r="O51" i="27" s="1"/>
  <c r="O92" i="27"/>
  <c r="M99" i="27"/>
  <c r="M100" i="27"/>
  <c r="R134" i="27"/>
  <c r="R92" i="27"/>
  <c r="R88" i="27"/>
  <c r="R93" i="27"/>
  <c r="R48" i="27"/>
  <c r="R51" i="27" s="1"/>
  <c r="L134" i="27"/>
  <c r="L93" i="27"/>
  <c r="L92" i="27"/>
  <c r="L88" i="27"/>
  <c r="L48" i="27"/>
  <c r="L51" i="27" s="1"/>
  <c r="L124" i="27" s="1"/>
  <c r="L99" i="27"/>
  <c r="L100" i="27"/>
  <c r="J109" i="27"/>
  <c r="J115" i="27" s="1"/>
  <c r="J119" i="27" s="1"/>
  <c r="J127" i="27" s="1"/>
  <c r="J106" i="27"/>
  <c r="P110" i="27"/>
  <c r="I135" i="27"/>
  <c r="I52" i="27"/>
  <c r="Q124" i="27"/>
  <c r="Q120" i="27"/>
  <c r="Q123" i="27"/>
  <c r="Q125" i="27"/>
  <c r="Q121" i="27"/>
  <c r="Q122" i="27"/>
  <c r="Q48" i="27"/>
  <c r="Q51" i="27" s="1"/>
  <c r="Q92" i="27"/>
  <c r="Q93" i="27"/>
  <c r="Q134" i="27"/>
  <c r="Q88" i="27"/>
  <c r="J121" i="27"/>
  <c r="J120" i="27"/>
  <c r="J122" i="27"/>
  <c r="Q102" i="27"/>
  <c r="Q90" i="27"/>
  <c r="M134" i="27"/>
  <c r="M48" i="27"/>
  <c r="M51" i="27" s="1"/>
  <c r="M124" i="27" s="1"/>
  <c r="M92" i="27"/>
  <c r="M88" i="27"/>
  <c r="M93" i="27"/>
  <c r="N100" i="27"/>
  <c r="N99" i="27"/>
  <c r="O136" i="27"/>
  <c r="O107" i="27"/>
  <c r="O31" i="27"/>
  <c r="N114" i="27"/>
  <c r="P102" i="27"/>
  <c r="P90" i="27"/>
  <c r="H136" i="27"/>
  <c r="H107" i="27"/>
  <c r="H112" i="27"/>
  <c r="H31" i="27"/>
  <c r="J134" i="27"/>
  <c r="J93" i="27"/>
  <c r="J92" i="27"/>
  <c r="J88" i="27"/>
  <c r="J48" i="27"/>
  <c r="J51" i="27" s="1"/>
  <c r="J124" i="27" s="1"/>
  <c r="L57" i="27"/>
  <c r="L73" i="27" s="1"/>
  <c r="L87" i="27"/>
  <c r="L95" i="27" s="1"/>
  <c r="M32" i="27"/>
  <c r="N99" i="26"/>
  <c r="N100" i="26"/>
  <c r="R116" i="26"/>
  <c r="R128" i="26"/>
  <c r="R91" i="26"/>
  <c r="R46" i="26"/>
  <c r="R113" i="26"/>
  <c r="R89" i="26"/>
  <c r="J107" i="26"/>
  <c r="J136" i="26"/>
  <c r="N4" i="26"/>
  <c r="O107" i="26"/>
  <c r="O136" i="26"/>
  <c r="O31" i="26"/>
  <c r="M132" i="26"/>
  <c r="M105" i="26"/>
  <c r="M89" i="26"/>
  <c r="M46" i="26"/>
  <c r="R99" i="26"/>
  <c r="R100" i="26"/>
  <c r="K134" i="26"/>
  <c r="K92" i="26"/>
  <c r="K88" i="26"/>
  <c r="K48" i="26"/>
  <c r="K51" i="26" s="1"/>
  <c r="K93" i="26"/>
  <c r="K137" i="26"/>
  <c r="K104" i="26"/>
  <c r="K105" i="26"/>
  <c r="K133" i="26"/>
  <c r="K131" i="26"/>
  <c r="K89" i="26"/>
  <c r="I136" i="26"/>
  <c r="I107" i="26"/>
  <c r="L137" i="26"/>
  <c r="L4" i="26"/>
  <c r="I110" i="26"/>
  <c r="I138" i="26"/>
  <c r="J139" i="26"/>
  <c r="J18" i="26"/>
  <c r="J31" i="26" s="1"/>
  <c r="R139" i="26"/>
  <c r="R18" i="26"/>
  <c r="O142" i="26"/>
  <c r="O108" i="26"/>
  <c r="O114" i="26"/>
  <c r="M31" i="26"/>
  <c r="H113" i="26"/>
  <c r="H117" i="26"/>
  <c r="H116" i="26"/>
  <c r="H89" i="26"/>
  <c r="Q128" i="26"/>
  <c r="Q91" i="26"/>
  <c r="Q113" i="26"/>
  <c r="Q112" i="26"/>
  <c r="H131" i="26"/>
  <c r="H118" i="26"/>
  <c r="H133" i="26"/>
  <c r="H105" i="26"/>
  <c r="I89" i="26"/>
  <c r="Q89" i="26"/>
  <c r="K91" i="26"/>
  <c r="P92" i="26"/>
  <c r="J97" i="26"/>
  <c r="J98" i="26" s="1"/>
  <c r="R108" i="26"/>
  <c r="I112" i="26"/>
  <c r="Q118" i="26"/>
  <c r="O138" i="26"/>
  <c r="O110" i="26"/>
  <c r="N111" i="26"/>
  <c r="N10" i="26"/>
  <c r="Q18" i="26"/>
  <c r="I31" i="26"/>
  <c r="J32" i="26"/>
  <c r="I87" i="26"/>
  <c r="I95" i="26" s="1"/>
  <c r="I128" i="26"/>
  <c r="I91" i="26"/>
  <c r="I117" i="26"/>
  <c r="I116" i="26"/>
  <c r="M128" i="26"/>
  <c r="M117" i="26"/>
  <c r="M116" i="26"/>
  <c r="M91" i="26"/>
  <c r="I133" i="26"/>
  <c r="I131" i="26"/>
  <c r="I118" i="26"/>
  <c r="M118" i="26"/>
  <c r="M133" i="26"/>
  <c r="M131" i="26"/>
  <c r="Q133" i="26"/>
  <c r="Q131" i="26"/>
  <c r="N132" i="26"/>
  <c r="N131" i="26"/>
  <c r="R118" i="26"/>
  <c r="R132" i="26"/>
  <c r="R131" i="26"/>
  <c r="I46" i="26"/>
  <c r="J89" i="26"/>
  <c r="L91" i="26"/>
  <c r="Q92" i="26"/>
  <c r="Q97" i="26"/>
  <c r="Q98" i="26" s="1"/>
  <c r="K103" i="26"/>
  <c r="P103" i="26"/>
  <c r="L104" i="26"/>
  <c r="I105" i="26"/>
  <c r="Q105" i="26"/>
  <c r="K110" i="26"/>
  <c r="M112" i="26"/>
  <c r="M113" i="26"/>
  <c r="K125" i="26"/>
  <c r="K121" i="26"/>
  <c r="K124" i="26"/>
  <c r="K123" i="26"/>
  <c r="K122" i="26"/>
  <c r="J118" i="26"/>
  <c r="P139" i="26"/>
  <c r="P97" i="26"/>
  <c r="P98" i="26" s="1"/>
  <c r="M107" i="26"/>
  <c r="M108" i="26"/>
  <c r="L110" i="26"/>
  <c r="N112" i="26"/>
  <c r="M114" i="26"/>
  <c r="L116" i="26"/>
  <c r="L117" i="26"/>
  <c r="K118" i="26"/>
  <c r="H128" i="26"/>
  <c r="K136" i="26"/>
  <c r="K107" i="26"/>
  <c r="N137" i="26"/>
  <c r="N103" i="26"/>
  <c r="N104" i="26"/>
  <c r="R137" i="26"/>
  <c r="R103" i="26"/>
  <c r="R104" i="26"/>
  <c r="H139" i="26"/>
  <c r="H97" i="26"/>
  <c r="H98" i="26" s="1"/>
  <c r="N91" i="26"/>
  <c r="N46" i="26"/>
  <c r="P134" i="26"/>
  <c r="P93" i="26"/>
  <c r="O137" i="26"/>
  <c r="O104" i="26"/>
  <c r="Q110" i="26"/>
  <c r="Q138" i="26"/>
  <c r="J142" i="26"/>
  <c r="J114" i="26"/>
  <c r="J108" i="26"/>
  <c r="K31" i="26"/>
  <c r="N130" i="26"/>
  <c r="N117" i="26"/>
  <c r="L46" i="26"/>
  <c r="Q48" i="26"/>
  <c r="Q51" i="26" s="1"/>
  <c r="Q88" i="26"/>
  <c r="N89" i="26"/>
  <c r="H91" i="26"/>
  <c r="P91" i="26"/>
  <c r="H109" i="26"/>
  <c r="H115" i="26" s="1"/>
  <c r="H119" i="26" s="1"/>
  <c r="H127" i="26" s="1"/>
  <c r="H106" i="26"/>
  <c r="I97" i="26"/>
  <c r="I98" i="26" s="1"/>
  <c r="O99" i="26"/>
  <c r="H103" i="26"/>
  <c r="Q107" i="26"/>
  <c r="Q108" i="26"/>
  <c r="P110" i="26"/>
  <c r="Q114" i="26"/>
  <c r="P116" i="26"/>
  <c r="J137" i="26"/>
  <c r="J104" i="26"/>
  <c r="J103" i="26"/>
  <c r="L139" i="26"/>
  <c r="L97" i="26"/>
  <c r="L98" i="26" s="1"/>
  <c r="I142" i="26"/>
  <c r="I114" i="26"/>
  <c r="I108" i="26"/>
  <c r="J116" i="26"/>
  <c r="J128" i="26"/>
  <c r="J113" i="26"/>
  <c r="J112" i="26"/>
  <c r="J91" i="26"/>
  <c r="J46" i="26"/>
  <c r="P48" i="26"/>
  <c r="P51" i="26" s="1"/>
  <c r="R4" i="26"/>
  <c r="R114" i="26" s="1"/>
  <c r="H138" i="26"/>
  <c r="N142" i="26"/>
  <c r="N114" i="26"/>
  <c r="N108" i="26"/>
  <c r="Q31" i="26"/>
  <c r="P113" i="26"/>
  <c r="P112" i="26"/>
  <c r="P128" i="26"/>
  <c r="P89" i="26"/>
  <c r="R117" i="26"/>
  <c r="R130" i="26"/>
  <c r="O133" i="26"/>
  <c r="O131" i="26"/>
  <c r="O105" i="26"/>
  <c r="H137" i="26"/>
  <c r="H4" i="26"/>
  <c r="H112" i="26" s="1"/>
  <c r="P137" i="26"/>
  <c r="P4" i="26"/>
  <c r="M110" i="26"/>
  <c r="M138" i="26"/>
  <c r="P18" i="26"/>
  <c r="N139" i="26"/>
  <c r="N18" i="26"/>
  <c r="K142" i="26"/>
  <c r="K108" i="26"/>
  <c r="L113" i="26"/>
  <c r="L112" i="26"/>
  <c r="L89" i="26"/>
  <c r="O130" i="26"/>
  <c r="O33" i="26"/>
  <c r="O117" i="26" s="1"/>
  <c r="L131" i="26"/>
  <c r="L118" i="26"/>
  <c r="L133" i="26"/>
  <c r="L105" i="26"/>
  <c r="P131" i="26"/>
  <c r="P118" i="26"/>
  <c r="P133" i="26"/>
  <c r="P105" i="26"/>
  <c r="H46" i="26"/>
  <c r="K100" i="26"/>
  <c r="M100" i="26"/>
  <c r="O103" i="26"/>
  <c r="Q116" i="26"/>
  <c r="Q117" i="26"/>
  <c r="N128" i="26"/>
  <c r="L114" i="26"/>
  <c r="P114" i="26"/>
  <c r="K117" i="26"/>
  <c r="K112" i="26"/>
  <c r="N129" i="26"/>
  <c r="N116" i="26"/>
  <c r="P108" i="26"/>
  <c r="J110" i="26"/>
  <c r="K113" i="26"/>
  <c r="N118" i="26"/>
  <c r="K128" i="26"/>
  <c r="L142" i="26"/>
  <c r="J131" i="26"/>
  <c r="R141" i="25"/>
  <c r="Q141" i="25"/>
  <c r="P141" i="25"/>
  <c r="O141" i="25"/>
  <c r="N141" i="25"/>
  <c r="M141" i="25"/>
  <c r="R140" i="25"/>
  <c r="Q140" i="25"/>
  <c r="P140" i="25"/>
  <c r="O140" i="25"/>
  <c r="N140" i="25"/>
  <c r="M140" i="25"/>
  <c r="L140" i="25"/>
  <c r="K140" i="25"/>
  <c r="J140" i="25"/>
  <c r="I140" i="25"/>
  <c r="H140" i="25"/>
  <c r="O137" i="25"/>
  <c r="Q131" i="25"/>
  <c r="R130" i="25"/>
  <c r="Q130" i="25"/>
  <c r="P130" i="25"/>
  <c r="O130" i="25"/>
  <c r="N130" i="25"/>
  <c r="M130" i="25"/>
  <c r="L130" i="25"/>
  <c r="K130" i="25"/>
  <c r="J130" i="25"/>
  <c r="I130" i="25"/>
  <c r="H130" i="25"/>
  <c r="R129" i="25"/>
  <c r="Q129" i="25"/>
  <c r="P129" i="25"/>
  <c r="O129" i="25"/>
  <c r="N129" i="25"/>
  <c r="M129" i="25"/>
  <c r="L129" i="25"/>
  <c r="K129" i="25"/>
  <c r="J129" i="25"/>
  <c r="I129" i="25"/>
  <c r="H129" i="25"/>
  <c r="L125" i="25"/>
  <c r="L117" i="25"/>
  <c r="J117" i="25"/>
  <c r="L116" i="25"/>
  <c r="L120" i="25" s="1"/>
  <c r="K116" i="25"/>
  <c r="K123" i="25" s="1"/>
  <c r="E114" i="25"/>
  <c r="R111" i="25"/>
  <c r="Q111" i="25"/>
  <c r="P111" i="25"/>
  <c r="O111" i="25"/>
  <c r="N111" i="25"/>
  <c r="M111" i="25"/>
  <c r="L111" i="25"/>
  <c r="K111" i="25"/>
  <c r="J111" i="25"/>
  <c r="H111" i="25"/>
  <c r="I109" i="25"/>
  <c r="I115" i="25" s="1"/>
  <c r="I119" i="25" s="1"/>
  <c r="I127" i="25" s="1"/>
  <c r="M105" i="25"/>
  <c r="P104" i="25"/>
  <c r="K104" i="25"/>
  <c r="H104" i="25"/>
  <c r="K103" i="25"/>
  <c r="R101" i="25"/>
  <c r="Q101" i="25"/>
  <c r="P101" i="25"/>
  <c r="O101" i="25"/>
  <c r="N101" i="25"/>
  <c r="M101" i="25"/>
  <c r="L101" i="25"/>
  <c r="I101" i="25"/>
  <c r="H101" i="25"/>
  <c r="M97" i="25"/>
  <c r="M98" i="25" s="1"/>
  <c r="R96" i="25"/>
  <c r="Q96" i="25"/>
  <c r="P96" i="25"/>
  <c r="O96" i="25"/>
  <c r="N96" i="25"/>
  <c r="M96" i="25"/>
  <c r="L96" i="25"/>
  <c r="K96" i="25"/>
  <c r="J96" i="25"/>
  <c r="I96" i="25"/>
  <c r="H96" i="25"/>
  <c r="R94" i="25"/>
  <c r="Q94" i="25"/>
  <c r="P94" i="25"/>
  <c r="O94" i="25"/>
  <c r="N94" i="25"/>
  <c r="M94" i="25"/>
  <c r="H94" i="25"/>
  <c r="L91" i="25"/>
  <c r="H89" i="25"/>
  <c r="H87" i="25"/>
  <c r="H95" i="25" s="1"/>
  <c r="R85" i="25"/>
  <c r="Q85" i="25"/>
  <c r="P85" i="25"/>
  <c r="O85" i="25"/>
  <c r="N85" i="25"/>
  <c r="M85" i="25"/>
  <c r="L85" i="25"/>
  <c r="H79" i="25"/>
  <c r="H85" i="25" s="1"/>
  <c r="K77" i="25"/>
  <c r="K101" i="25" s="1"/>
  <c r="J77" i="25"/>
  <c r="J101" i="25" s="1"/>
  <c r="I77" i="25"/>
  <c r="I85" i="25" s="1"/>
  <c r="R71" i="25"/>
  <c r="Q71" i="25"/>
  <c r="P71" i="25"/>
  <c r="O71" i="25"/>
  <c r="N71" i="25"/>
  <c r="M71" i="25"/>
  <c r="L71" i="25"/>
  <c r="K71" i="25"/>
  <c r="J71" i="25"/>
  <c r="I71" i="25"/>
  <c r="H71" i="25"/>
  <c r="H57" i="25"/>
  <c r="H73" i="25" s="1"/>
  <c r="P44" i="25"/>
  <c r="P41" i="25" s="1"/>
  <c r="R41" i="25"/>
  <c r="R132" i="25" s="1"/>
  <c r="Q41" i="25"/>
  <c r="Q132" i="25" s="1"/>
  <c r="O41" i="25"/>
  <c r="O132" i="25" s="1"/>
  <c r="N41" i="25"/>
  <c r="N132" i="25" s="1"/>
  <c r="M41" i="25"/>
  <c r="M132" i="25" s="1"/>
  <c r="L41" i="25"/>
  <c r="L132" i="25" s="1"/>
  <c r="K41" i="25"/>
  <c r="K46" i="25" s="1"/>
  <c r="J41" i="25"/>
  <c r="J132" i="25" s="1"/>
  <c r="I41" i="25"/>
  <c r="I132" i="25" s="1"/>
  <c r="H41" i="25"/>
  <c r="H132" i="25" s="1"/>
  <c r="R38" i="25"/>
  <c r="R118" i="25" s="1"/>
  <c r="Q38" i="25"/>
  <c r="Q133" i="25" s="1"/>
  <c r="P38" i="25"/>
  <c r="O38" i="25"/>
  <c r="N38" i="25"/>
  <c r="N131" i="25" s="1"/>
  <c r="M38" i="25"/>
  <c r="L38" i="25"/>
  <c r="K38" i="25"/>
  <c r="K118" i="25" s="1"/>
  <c r="J38" i="25"/>
  <c r="I38" i="25"/>
  <c r="H38" i="25"/>
  <c r="H133" i="25" s="1"/>
  <c r="R33" i="25"/>
  <c r="R46" i="25" s="1"/>
  <c r="Q33" i="25"/>
  <c r="Q117" i="25" s="1"/>
  <c r="P33" i="25"/>
  <c r="O33" i="25"/>
  <c r="N33" i="25"/>
  <c r="N113" i="25" s="1"/>
  <c r="M33" i="25"/>
  <c r="L33" i="25"/>
  <c r="K33" i="25"/>
  <c r="J33" i="25"/>
  <c r="I33" i="25"/>
  <c r="I113" i="25" s="1"/>
  <c r="H33" i="25"/>
  <c r="I32" i="25"/>
  <c r="I87" i="25" s="1"/>
  <c r="I95" i="25" s="1"/>
  <c r="I106" i="25" s="1"/>
  <c r="I29" i="25"/>
  <c r="I94" i="25" s="1"/>
  <c r="R27" i="25"/>
  <c r="R142" i="25" s="1"/>
  <c r="Q27" i="25"/>
  <c r="P27" i="25"/>
  <c r="O27" i="25"/>
  <c r="N27" i="25"/>
  <c r="M27" i="25"/>
  <c r="M142" i="25" s="1"/>
  <c r="I27" i="25"/>
  <c r="H27" i="25"/>
  <c r="L24" i="25"/>
  <c r="L141" i="25" s="1"/>
  <c r="K24" i="25"/>
  <c r="K141" i="25" s="1"/>
  <c r="J24" i="25"/>
  <c r="J141" i="25" s="1"/>
  <c r="I24" i="25"/>
  <c r="I141" i="25" s="1"/>
  <c r="H24" i="25"/>
  <c r="H141" i="25" s="1"/>
  <c r="L21" i="25"/>
  <c r="L19" i="25" s="1"/>
  <c r="K21" i="25"/>
  <c r="K19" i="25" s="1"/>
  <c r="J21" i="25"/>
  <c r="I21" i="25"/>
  <c r="I19" i="25" s="1"/>
  <c r="H21" i="25"/>
  <c r="H19" i="25" s="1"/>
  <c r="R19" i="25"/>
  <c r="Q19" i="25"/>
  <c r="Q139" i="25" s="1"/>
  <c r="P19" i="25"/>
  <c r="P139" i="25" s="1"/>
  <c r="O19" i="25"/>
  <c r="O18" i="25" s="1"/>
  <c r="N19" i="25"/>
  <c r="N97" i="25" s="1"/>
  <c r="N98" i="25" s="1"/>
  <c r="M19" i="25"/>
  <c r="M139" i="25" s="1"/>
  <c r="J19" i="25"/>
  <c r="Q18" i="25"/>
  <c r="M18" i="25"/>
  <c r="I15" i="25"/>
  <c r="I111" i="25" s="1"/>
  <c r="H15" i="25"/>
  <c r="H10" i="25" s="1"/>
  <c r="R10" i="25"/>
  <c r="R138" i="25" s="1"/>
  <c r="Q10" i="25"/>
  <c r="P10" i="25"/>
  <c r="O10" i="25"/>
  <c r="N10" i="25"/>
  <c r="N138" i="25" s="1"/>
  <c r="M10" i="25"/>
  <c r="L10" i="25"/>
  <c r="L138" i="25" s="1"/>
  <c r="K10" i="25"/>
  <c r="J10" i="25"/>
  <c r="R5" i="25"/>
  <c r="R103" i="25" s="1"/>
  <c r="Q5" i="25"/>
  <c r="P5" i="25"/>
  <c r="O5" i="25"/>
  <c r="O103" i="25" s="1"/>
  <c r="N5" i="25"/>
  <c r="N103" i="25" s="1"/>
  <c r="M5" i="25"/>
  <c r="L5" i="25"/>
  <c r="L103" i="25" s="1"/>
  <c r="K5" i="25"/>
  <c r="K137" i="25" s="1"/>
  <c r="J5" i="25"/>
  <c r="I5" i="25"/>
  <c r="H5" i="25"/>
  <c r="P4" i="25"/>
  <c r="L4" i="25"/>
  <c r="P109" i="33" l="1"/>
  <c r="P115" i="33" s="1"/>
  <c r="P119" i="33" s="1"/>
  <c r="P127" i="33" s="1"/>
  <c r="P106" i="33"/>
  <c r="Q87" i="33"/>
  <c r="Q95" i="33" s="1"/>
  <c r="Q57" i="33"/>
  <c r="Q73" i="33" s="1"/>
  <c r="R32" i="33"/>
  <c r="R106" i="32"/>
  <c r="R109" i="32"/>
  <c r="R115" i="32" s="1"/>
  <c r="R119" i="32" s="1"/>
  <c r="R127" i="32" s="1"/>
  <c r="O87" i="31"/>
  <c r="O95" i="31" s="1"/>
  <c r="O57" i="31"/>
  <c r="O73" i="31" s="1"/>
  <c r="P32" i="31"/>
  <c r="N109" i="31"/>
  <c r="N115" i="31" s="1"/>
  <c r="N119" i="31" s="1"/>
  <c r="N127" i="31" s="1"/>
  <c r="N106" i="31"/>
  <c r="O32" i="30"/>
  <c r="N87" i="30"/>
  <c r="N95" i="30" s="1"/>
  <c r="N57" i="30"/>
  <c r="N73" i="30" s="1"/>
  <c r="M106" i="30"/>
  <c r="M109" i="30"/>
  <c r="M115" i="30" s="1"/>
  <c r="M119" i="30" s="1"/>
  <c r="M127" i="30" s="1"/>
  <c r="M106" i="29"/>
  <c r="M109" i="29"/>
  <c r="M115" i="29" s="1"/>
  <c r="M119" i="29" s="1"/>
  <c r="M127" i="29" s="1"/>
  <c r="N87" i="29"/>
  <c r="N95" i="29" s="1"/>
  <c r="N57" i="29"/>
  <c r="N73" i="29" s="1"/>
  <c r="O32" i="29"/>
  <c r="N87" i="28"/>
  <c r="N95" i="28" s="1"/>
  <c r="N57" i="28"/>
  <c r="N73" i="28" s="1"/>
  <c r="O32" i="28"/>
  <c r="L114" i="28"/>
  <c r="L108" i="28"/>
  <c r="L142" i="28"/>
  <c r="L18" i="28"/>
  <c r="L31" i="28" s="1"/>
  <c r="M106" i="28"/>
  <c r="M109" i="28"/>
  <c r="M115" i="28" s="1"/>
  <c r="M119" i="28" s="1"/>
  <c r="M127" i="28" s="1"/>
  <c r="M87" i="27"/>
  <c r="M95" i="27" s="1"/>
  <c r="N32" i="27"/>
  <c r="M57" i="27"/>
  <c r="M73" i="27" s="1"/>
  <c r="J123" i="27"/>
  <c r="J125" i="27"/>
  <c r="R135" i="27"/>
  <c r="R52" i="27"/>
  <c r="O135" i="27"/>
  <c r="O52" i="27"/>
  <c r="M123" i="27"/>
  <c r="L109" i="27"/>
  <c r="L115" i="27" s="1"/>
  <c r="L119" i="27" s="1"/>
  <c r="L127" i="27" s="1"/>
  <c r="L106" i="27"/>
  <c r="Q135" i="27"/>
  <c r="Q52" i="27"/>
  <c r="L123" i="27"/>
  <c r="M125" i="27"/>
  <c r="H135" i="27"/>
  <c r="H52" i="27"/>
  <c r="P135" i="27"/>
  <c r="P52" i="27"/>
  <c r="J135" i="27"/>
  <c r="J52" i="27"/>
  <c r="M135" i="27"/>
  <c r="M52" i="27"/>
  <c r="L135" i="27"/>
  <c r="L52" i="27"/>
  <c r="K135" i="27"/>
  <c r="K52" i="27"/>
  <c r="K125" i="27"/>
  <c r="K124" i="27"/>
  <c r="K123" i="27"/>
  <c r="L125" i="27"/>
  <c r="H134" i="26"/>
  <c r="H93" i="26"/>
  <c r="H92" i="26"/>
  <c r="H48" i="26"/>
  <c r="H51" i="26" s="1"/>
  <c r="H88" i="26"/>
  <c r="I99" i="26"/>
  <c r="I100" i="26"/>
  <c r="P136" i="26"/>
  <c r="P107" i="26"/>
  <c r="P31" i="26"/>
  <c r="P135" i="26"/>
  <c r="P52" i="26"/>
  <c r="N102" i="26"/>
  <c r="N90" i="26"/>
  <c r="N134" i="26"/>
  <c r="N92" i="26"/>
  <c r="N88" i="26"/>
  <c r="N93" i="26"/>
  <c r="N48" i="26"/>
  <c r="N51" i="26" s="1"/>
  <c r="I122" i="26"/>
  <c r="I121" i="26"/>
  <c r="I120" i="26"/>
  <c r="I106" i="26"/>
  <c r="I109" i="26"/>
  <c r="I115" i="26" s="1"/>
  <c r="I119" i="26" s="1"/>
  <c r="I127" i="26" s="1"/>
  <c r="N138" i="26"/>
  <c r="N110" i="26"/>
  <c r="J99" i="26"/>
  <c r="J100" i="26"/>
  <c r="I102" i="26"/>
  <c r="I90" i="26"/>
  <c r="M134" i="26"/>
  <c r="M92" i="26"/>
  <c r="M88" i="26"/>
  <c r="M93" i="26"/>
  <c r="M48" i="26"/>
  <c r="M51" i="26" s="1"/>
  <c r="R112" i="26"/>
  <c r="N124" i="26"/>
  <c r="N120" i="26"/>
  <c r="N125" i="26"/>
  <c r="N123" i="26"/>
  <c r="N122" i="26"/>
  <c r="N121" i="26"/>
  <c r="P102" i="26"/>
  <c r="P90" i="26"/>
  <c r="H110" i="26"/>
  <c r="J88" i="26"/>
  <c r="J134" i="26"/>
  <c r="J92" i="26"/>
  <c r="J93" i="26"/>
  <c r="J48" i="26"/>
  <c r="J51" i="26" s="1"/>
  <c r="J123" i="26" s="1"/>
  <c r="J102" i="26"/>
  <c r="J90" i="26"/>
  <c r="M123" i="26"/>
  <c r="M122" i="26"/>
  <c r="M121" i="26"/>
  <c r="M120" i="26"/>
  <c r="M125" i="26"/>
  <c r="M124" i="26"/>
  <c r="J87" i="26"/>
  <c r="J95" i="26" s="1"/>
  <c r="J57" i="26"/>
  <c r="J73" i="26" s="1"/>
  <c r="K32" i="26"/>
  <c r="H102" i="26"/>
  <c r="H90" i="26"/>
  <c r="M102" i="26"/>
  <c r="M90" i="26"/>
  <c r="R124" i="26"/>
  <c r="R120" i="26"/>
  <c r="R123" i="26"/>
  <c r="R122" i="26"/>
  <c r="R121" i="26"/>
  <c r="R125" i="26"/>
  <c r="L90" i="26"/>
  <c r="L102" i="26"/>
  <c r="J124" i="26"/>
  <c r="J120" i="26"/>
  <c r="J125" i="26"/>
  <c r="J122" i="26"/>
  <c r="J121" i="26"/>
  <c r="L100" i="26"/>
  <c r="L99" i="26"/>
  <c r="Q135" i="26"/>
  <c r="Q52" i="26"/>
  <c r="H100" i="26"/>
  <c r="H99" i="26"/>
  <c r="P100" i="26"/>
  <c r="P99" i="26"/>
  <c r="Q99" i="26"/>
  <c r="Q100" i="26"/>
  <c r="I134" i="26"/>
  <c r="I88" i="26"/>
  <c r="I93" i="26"/>
  <c r="I92" i="26"/>
  <c r="I48" i="26"/>
  <c r="I51" i="26" s="1"/>
  <c r="I124" i="26" s="1"/>
  <c r="H122" i="26"/>
  <c r="H121" i="26"/>
  <c r="H120" i="26"/>
  <c r="H125" i="26"/>
  <c r="H124" i="26"/>
  <c r="H123" i="26"/>
  <c r="K135" i="26"/>
  <c r="K52" i="26"/>
  <c r="R88" i="26"/>
  <c r="R134" i="26"/>
  <c r="R92" i="26"/>
  <c r="R93" i="26"/>
  <c r="R48" i="26"/>
  <c r="R51" i="26" s="1"/>
  <c r="Q123" i="26"/>
  <c r="Q122" i="26"/>
  <c r="Q121" i="26"/>
  <c r="Q120" i="26"/>
  <c r="Q125" i="26"/>
  <c r="Q124" i="26"/>
  <c r="H136" i="26"/>
  <c r="H31" i="26"/>
  <c r="H107" i="26"/>
  <c r="H114" i="26"/>
  <c r="O112" i="26"/>
  <c r="O128" i="26"/>
  <c r="O113" i="26"/>
  <c r="O89" i="26"/>
  <c r="O116" i="26"/>
  <c r="O91" i="26"/>
  <c r="O46" i="26"/>
  <c r="R107" i="26"/>
  <c r="R136" i="26"/>
  <c r="R110" i="26"/>
  <c r="R31" i="26"/>
  <c r="P122" i="26"/>
  <c r="P125" i="26"/>
  <c r="P124" i="26"/>
  <c r="P123" i="26"/>
  <c r="P121" i="26"/>
  <c r="P120" i="26"/>
  <c r="L134" i="26"/>
  <c r="L93" i="26"/>
  <c r="L88" i="26"/>
  <c r="L92" i="26"/>
  <c r="L48" i="26"/>
  <c r="L51" i="26" s="1"/>
  <c r="L122" i="26"/>
  <c r="L121" i="26"/>
  <c r="L120" i="26"/>
  <c r="L125" i="26"/>
  <c r="L124" i="26"/>
  <c r="L123" i="26"/>
  <c r="Q102" i="26"/>
  <c r="Q90" i="26"/>
  <c r="L136" i="26"/>
  <c r="L31" i="26"/>
  <c r="L107" i="26"/>
  <c r="K102" i="26"/>
  <c r="K90" i="26"/>
  <c r="N107" i="26"/>
  <c r="N136" i="26"/>
  <c r="N31" i="26"/>
  <c r="R102" i="26"/>
  <c r="R90" i="26"/>
  <c r="N99" i="25"/>
  <c r="K139" i="25"/>
  <c r="K97" i="25"/>
  <c r="K98" i="25" s="1"/>
  <c r="H139" i="25"/>
  <c r="H97" i="25"/>
  <c r="H98" i="25" s="1"/>
  <c r="H18" i="25"/>
  <c r="L139" i="25"/>
  <c r="L97" i="25"/>
  <c r="L98" i="25" s="1"/>
  <c r="P132" i="25"/>
  <c r="P105" i="25"/>
  <c r="P46" i="25"/>
  <c r="H138" i="25"/>
  <c r="H4" i="25"/>
  <c r="H110" i="25" s="1"/>
  <c r="I18" i="25"/>
  <c r="I139" i="25"/>
  <c r="I97" i="25"/>
  <c r="I98" i="25" s="1"/>
  <c r="K134" i="25"/>
  <c r="K93" i="25"/>
  <c r="K88" i="25"/>
  <c r="K92" i="25"/>
  <c r="K48" i="25"/>
  <c r="K51" i="25" s="1"/>
  <c r="M100" i="25"/>
  <c r="M99" i="25"/>
  <c r="R134" i="25"/>
  <c r="R93" i="25"/>
  <c r="R92" i="25"/>
  <c r="R88" i="25"/>
  <c r="R48" i="25"/>
  <c r="R51" i="25" s="1"/>
  <c r="P136" i="25"/>
  <c r="P107" i="25"/>
  <c r="R139" i="25"/>
  <c r="R97" i="25"/>
  <c r="R98" i="25" s="1"/>
  <c r="J133" i="25"/>
  <c r="J131" i="25"/>
  <c r="J105" i="25"/>
  <c r="O46" i="25"/>
  <c r="R89" i="25"/>
  <c r="R91" i="25"/>
  <c r="J137" i="25"/>
  <c r="J104" i="25"/>
  <c r="K138" i="25"/>
  <c r="K110" i="25"/>
  <c r="J116" i="25"/>
  <c r="J128" i="25"/>
  <c r="J113" i="25"/>
  <c r="I89" i="25"/>
  <c r="H91" i="25"/>
  <c r="M108" i="25"/>
  <c r="N4" i="25"/>
  <c r="K117" i="25"/>
  <c r="K112" i="25"/>
  <c r="K128" i="25"/>
  <c r="K113" i="25"/>
  <c r="K89" i="25"/>
  <c r="O117" i="25"/>
  <c r="O113" i="25"/>
  <c r="O116" i="25"/>
  <c r="O89" i="25"/>
  <c r="L131" i="25"/>
  <c r="L118" i="25"/>
  <c r="L133" i="25"/>
  <c r="P131" i="25"/>
  <c r="P118" i="25"/>
  <c r="K4" i="25"/>
  <c r="O4" i="25"/>
  <c r="O112" i="25" s="1"/>
  <c r="H137" i="25"/>
  <c r="H103" i="25"/>
  <c r="P137" i="25"/>
  <c r="P103" i="25"/>
  <c r="I10" i="25"/>
  <c r="M138" i="25"/>
  <c r="Q110" i="25"/>
  <c r="P18" i="25"/>
  <c r="P31" i="25" s="1"/>
  <c r="H114" i="25"/>
  <c r="H142" i="25"/>
  <c r="P142" i="25"/>
  <c r="P114" i="25"/>
  <c r="P108" i="25"/>
  <c r="J29" i="25"/>
  <c r="H128" i="25"/>
  <c r="H113" i="25"/>
  <c r="H117" i="25"/>
  <c r="H116" i="25"/>
  <c r="L128" i="25"/>
  <c r="L113" i="25"/>
  <c r="L112" i="25"/>
  <c r="P128" i="25"/>
  <c r="P113" i="25"/>
  <c r="P112" i="25"/>
  <c r="I133" i="25"/>
  <c r="I118" i="25"/>
  <c r="M133" i="25"/>
  <c r="M118" i="25"/>
  <c r="M131" i="25"/>
  <c r="J46" i="25"/>
  <c r="N46" i="25"/>
  <c r="J85" i="25"/>
  <c r="L89" i="25"/>
  <c r="Q89" i="25"/>
  <c r="K91" i="25"/>
  <c r="P91" i="25"/>
  <c r="Q97" i="25"/>
  <c r="Q98" i="25" s="1"/>
  <c r="J103" i="25"/>
  <c r="O104" i="25"/>
  <c r="L105" i="25"/>
  <c r="H108" i="25"/>
  <c r="R108" i="25"/>
  <c r="Q116" i="25"/>
  <c r="O128" i="25"/>
  <c r="L137" i="25"/>
  <c r="Q138" i="25"/>
  <c r="N133" i="25"/>
  <c r="N105" i="25"/>
  <c r="N118" i="25"/>
  <c r="K133" i="25"/>
  <c r="L136" i="25"/>
  <c r="L107" i="25"/>
  <c r="M137" i="25"/>
  <c r="M104" i="25"/>
  <c r="M103" i="25"/>
  <c r="Q137" i="25"/>
  <c r="Q104" i="25"/>
  <c r="Q103" i="25"/>
  <c r="J139" i="25"/>
  <c r="J97" i="25"/>
  <c r="J98" i="25" s="1"/>
  <c r="M128" i="25"/>
  <c r="M117" i="25"/>
  <c r="M116" i="25"/>
  <c r="M91" i="25"/>
  <c r="R133" i="25"/>
  <c r="R131" i="25"/>
  <c r="R105" i="25"/>
  <c r="H109" i="25"/>
  <c r="H115" i="25" s="1"/>
  <c r="H119" i="25" s="1"/>
  <c r="H127" i="25" s="1"/>
  <c r="H106" i="25"/>
  <c r="M89" i="25"/>
  <c r="M4" i="25"/>
  <c r="M110" i="25" s="1"/>
  <c r="R137" i="25"/>
  <c r="R104" i="25"/>
  <c r="R18" i="25"/>
  <c r="R116" i="25"/>
  <c r="R128" i="25"/>
  <c r="R117" i="25"/>
  <c r="O131" i="25"/>
  <c r="O118" i="25"/>
  <c r="O133" i="25"/>
  <c r="O105" i="25"/>
  <c r="H46" i="25"/>
  <c r="H105" i="25"/>
  <c r="L110" i="25"/>
  <c r="N112" i="25"/>
  <c r="L123" i="25"/>
  <c r="L122" i="25"/>
  <c r="L121" i="25"/>
  <c r="L124" i="25"/>
  <c r="K132" i="25"/>
  <c r="P133" i="25"/>
  <c r="N139" i="25"/>
  <c r="I142" i="25"/>
  <c r="I137" i="25"/>
  <c r="I104" i="25"/>
  <c r="I103" i="25"/>
  <c r="J138" i="25"/>
  <c r="Q142" i="25"/>
  <c r="Q108" i="25"/>
  <c r="I128" i="25"/>
  <c r="I117" i="25"/>
  <c r="I116" i="25"/>
  <c r="I91" i="25"/>
  <c r="Q128" i="25"/>
  <c r="Q113" i="25"/>
  <c r="Q112" i="25"/>
  <c r="Q91" i="25"/>
  <c r="K85" i="25"/>
  <c r="H102" i="25"/>
  <c r="H90" i="25"/>
  <c r="I108" i="25"/>
  <c r="M113" i="25"/>
  <c r="K122" i="25"/>
  <c r="K125" i="25"/>
  <c r="K121" i="25"/>
  <c r="K124" i="25"/>
  <c r="J118" i="25"/>
  <c r="I4" i="25"/>
  <c r="I114" i="25" s="1"/>
  <c r="Q4" i="25"/>
  <c r="N137" i="25"/>
  <c r="N104" i="25"/>
  <c r="O138" i="25"/>
  <c r="N18" i="25"/>
  <c r="O139" i="25"/>
  <c r="O97" i="25"/>
  <c r="O98" i="25" s="1"/>
  <c r="N142" i="25"/>
  <c r="N114" i="25"/>
  <c r="N116" i="25"/>
  <c r="N117" i="25"/>
  <c r="K131" i="25"/>
  <c r="K105" i="25"/>
  <c r="L46" i="25"/>
  <c r="N89" i="25"/>
  <c r="N91" i="25"/>
  <c r="J4" i="25"/>
  <c r="J112" i="25" s="1"/>
  <c r="R4" i="25"/>
  <c r="R114" i="25" s="1"/>
  <c r="P138" i="25"/>
  <c r="P110" i="25"/>
  <c r="O142" i="25"/>
  <c r="O108" i="25"/>
  <c r="O114" i="25"/>
  <c r="J32" i="25"/>
  <c r="H131" i="25"/>
  <c r="H118" i="25"/>
  <c r="I46" i="25"/>
  <c r="M46" i="25"/>
  <c r="Q46" i="25"/>
  <c r="I57" i="25"/>
  <c r="I73" i="25" s="1"/>
  <c r="J89" i="25"/>
  <c r="P89" i="25"/>
  <c r="J91" i="25"/>
  <c r="O91" i="25"/>
  <c r="P97" i="25"/>
  <c r="P98" i="25" s="1"/>
  <c r="L104" i="25"/>
  <c r="I105" i="25"/>
  <c r="Q105" i="25"/>
  <c r="N108" i="25"/>
  <c r="N110" i="25"/>
  <c r="H112" i="25"/>
  <c r="R112" i="25"/>
  <c r="R113" i="25"/>
  <c r="Q114" i="25"/>
  <c r="P116" i="25"/>
  <c r="P117" i="25"/>
  <c r="Q118" i="25"/>
  <c r="K120" i="25"/>
  <c r="N128" i="25"/>
  <c r="I131" i="25"/>
  <c r="R141" i="24"/>
  <c r="Q141" i="24"/>
  <c r="P141" i="24"/>
  <c r="O141" i="24"/>
  <c r="N141" i="24"/>
  <c r="M141" i="24"/>
  <c r="L141" i="24"/>
  <c r="K141" i="24"/>
  <c r="J141" i="24"/>
  <c r="I141" i="24"/>
  <c r="H141" i="24"/>
  <c r="R140" i="24"/>
  <c r="Q140" i="24"/>
  <c r="P140" i="24"/>
  <c r="O140" i="24"/>
  <c r="N140" i="24"/>
  <c r="M140" i="24"/>
  <c r="L140" i="24"/>
  <c r="K140" i="24"/>
  <c r="J140" i="24"/>
  <c r="I140" i="24"/>
  <c r="H140" i="24"/>
  <c r="N139" i="24"/>
  <c r="J139" i="24"/>
  <c r="P138" i="24"/>
  <c r="L138" i="24"/>
  <c r="O137" i="24"/>
  <c r="K137" i="24"/>
  <c r="K136" i="24"/>
  <c r="P133" i="24"/>
  <c r="L133" i="24"/>
  <c r="H133" i="24"/>
  <c r="R132" i="24"/>
  <c r="R130" i="24"/>
  <c r="Q130" i="24"/>
  <c r="P130" i="24"/>
  <c r="O130" i="24"/>
  <c r="N130" i="24"/>
  <c r="M130" i="24"/>
  <c r="L130" i="24"/>
  <c r="K130" i="24"/>
  <c r="J130" i="24"/>
  <c r="I130" i="24"/>
  <c r="H130" i="24"/>
  <c r="R129" i="24"/>
  <c r="Q129" i="24"/>
  <c r="P129" i="24"/>
  <c r="O129" i="24"/>
  <c r="N129" i="24"/>
  <c r="M129" i="24"/>
  <c r="L129" i="24"/>
  <c r="K129" i="24"/>
  <c r="J129" i="24"/>
  <c r="I129" i="24"/>
  <c r="H129" i="24"/>
  <c r="O128" i="24"/>
  <c r="K128" i="24"/>
  <c r="O124" i="24"/>
  <c r="O123" i="24"/>
  <c r="O122" i="24"/>
  <c r="O116" i="24"/>
  <c r="E114" i="24"/>
  <c r="O113" i="24"/>
  <c r="K113" i="24"/>
  <c r="R111" i="24"/>
  <c r="Q111" i="24"/>
  <c r="P111" i="24"/>
  <c r="O111" i="24"/>
  <c r="N111" i="24"/>
  <c r="M111" i="24"/>
  <c r="L111" i="24"/>
  <c r="K111" i="24"/>
  <c r="J111" i="24"/>
  <c r="I111" i="24"/>
  <c r="H111" i="24"/>
  <c r="K110" i="24"/>
  <c r="I108" i="24"/>
  <c r="K107" i="24"/>
  <c r="O104" i="24"/>
  <c r="K104" i="24"/>
  <c r="R103" i="24"/>
  <c r="O103" i="24"/>
  <c r="N103" i="24"/>
  <c r="K103" i="24"/>
  <c r="J103" i="24"/>
  <c r="R101" i="24"/>
  <c r="Q101" i="24"/>
  <c r="P101" i="24"/>
  <c r="O101" i="24"/>
  <c r="N101" i="24"/>
  <c r="M101" i="24"/>
  <c r="L101" i="24"/>
  <c r="K101" i="24"/>
  <c r="J101" i="24"/>
  <c r="I101" i="24"/>
  <c r="H101" i="24"/>
  <c r="R97" i="24"/>
  <c r="R98" i="24" s="1"/>
  <c r="N97" i="24"/>
  <c r="N98" i="24" s="1"/>
  <c r="L97" i="24"/>
  <c r="L98" i="24" s="1"/>
  <c r="J97" i="24"/>
  <c r="J98" i="24" s="1"/>
  <c r="H97" i="24"/>
  <c r="H98" i="24" s="1"/>
  <c r="R96" i="24"/>
  <c r="Q96" i="24"/>
  <c r="P96" i="24"/>
  <c r="O96" i="24"/>
  <c r="N96" i="24"/>
  <c r="M96" i="24"/>
  <c r="L96" i="24"/>
  <c r="K96" i="24"/>
  <c r="J96" i="24"/>
  <c r="I96" i="24"/>
  <c r="H96" i="24"/>
  <c r="R94" i="24"/>
  <c r="Q94" i="24"/>
  <c r="P94" i="24"/>
  <c r="O94" i="24"/>
  <c r="N94" i="24"/>
  <c r="M94" i="24"/>
  <c r="L94" i="24"/>
  <c r="K94" i="24"/>
  <c r="J94" i="24"/>
  <c r="I94" i="24"/>
  <c r="H94" i="24"/>
  <c r="H87" i="24"/>
  <c r="H95" i="24" s="1"/>
  <c r="R85" i="24"/>
  <c r="Q85" i="24"/>
  <c r="P85" i="24"/>
  <c r="O85" i="24"/>
  <c r="N85" i="24"/>
  <c r="M85" i="24"/>
  <c r="L85" i="24"/>
  <c r="K85" i="24"/>
  <c r="J85" i="24"/>
  <c r="I85" i="24"/>
  <c r="H85" i="24"/>
  <c r="H73" i="24"/>
  <c r="R71" i="24"/>
  <c r="Q71" i="24"/>
  <c r="P71" i="24"/>
  <c r="O71" i="24"/>
  <c r="N71" i="24"/>
  <c r="M71" i="24"/>
  <c r="L71" i="24"/>
  <c r="K71" i="24"/>
  <c r="J71" i="24"/>
  <c r="I71" i="24"/>
  <c r="H71" i="24"/>
  <c r="H57" i="24"/>
  <c r="R46" i="24"/>
  <c r="L43" i="24"/>
  <c r="L41" i="24" s="1"/>
  <c r="K43" i="24"/>
  <c r="J43" i="24"/>
  <c r="I43" i="24"/>
  <c r="I41" i="24" s="1"/>
  <c r="I132" i="24" s="1"/>
  <c r="H43" i="24"/>
  <c r="H41" i="24" s="1"/>
  <c r="R41" i="24"/>
  <c r="Q41" i="24"/>
  <c r="Q132" i="24" s="1"/>
  <c r="P41" i="24"/>
  <c r="P132" i="24" s="1"/>
  <c r="O41" i="24"/>
  <c r="O132" i="24" s="1"/>
  <c r="N41" i="24"/>
  <c r="N132" i="24" s="1"/>
  <c r="M41" i="24"/>
  <c r="M132" i="24" s="1"/>
  <c r="K41" i="24"/>
  <c r="K91" i="24" s="1"/>
  <c r="J41" i="24"/>
  <c r="J132" i="24" s="1"/>
  <c r="R38" i="24"/>
  <c r="R133" i="24" s="1"/>
  <c r="Q38" i="24"/>
  <c r="Q131" i="24" s="1"/>
  <c r="P38" i="24"/>
  <c r="O38" i="24"/>
  <c r="O91" i="24" s="1"/>
  <c r="N38" i="24"/>
  <c r="N105" i="24" s="1"/>
  <c r="M38" i="24"/>
  <c r="M133" i="24" s="1"/>
  <c r="L38" i="24"/>
  <c r="K38" i="24"/>
  <c r="J38" i="24"/>
  <c r="J105" i="24" s="1"/>
  <c r="I38" i="24"/>
  <c r="H38" i="24"/>
  <c r="R33" i="24"/>
  <c r="R117" i="24" s="1"/>
  <c r="Q33" i="24"/>
  <c r="P33" i="24"/>
  <c r="O33" i="24"/>
  <c r="N33" i="24"/>
  <c r="N113" i="24" s="1"/>
  <c r="M33" i="24"/>
  <c r="M117" i="24" s="1"/>
  <c r="L33" i="24"/>
  <c r="L112" i="24" s="1"/>
  <c r="K33" i="24"/>
  <c r="J33" i="24"/>
  <c r="I33" i="24"/>
  <c r="I113" i="24" s="1"/>
  <c r="H33" i="24"/>
  <c r="H117" i="24" s="1"/>
  <c r="I32" i="24"/>
  <c r="R27" i="24"/>
  <c r="Q27" i="24"/>
  <c r="P27" i="24"/>
  <c r="O27" i="24"/>
  <c r="N27" i="24"/>
  <c r="N142" i="24" s="1"/>
  <c r="M27" i="24"/>
  <c r="L27" i="24"/>
  <c r="L142" i="24" s="1"/>
  <c r="K27" i="24"/>
  <c r="J27" i="24"/>
  <c r="I27" i="24"/>
  <c r="I142" i="24" s="1"/>
  <c r="H27" i="24"/>
  <c r="R19" i="24"/>
  <c r="R139" i="24" s="1"/>
  <c r="Q19" i="24"/>
  <c r="Q97" i="24" s="1"/>
  <c r="Q98" i="24" s="1"/>
  <c r="P19" i="24"/>
  <c r="P139" i="24" s="1"/>
  <c r="O19" i="24"/>
  <c r="O97" i="24" s="1"/>
  <c r="O98" i="24" s="1"/>
  <c r="N19" i="24"/>
  <c r="M19" i="24"/>
  <c r="L19" i="24"/>
  <c r="L139" i="24" s="1"/>
  <c r="K19" i="24"/>
  <c r="J19" i="24"/>
  <c r="I19" i="24"/>
  <c r="I18" i="24" s="1"/>
  <c r="H19" i="24"/>
  <c r="H139" i="24" s="1"/>
  <c r="P18" i="24"/>
  <c r="O18" i="24"/>
  <c r="L18" i="24"/>
  <c r="K18" i="24"/>
  <c r="J18" i="24"/>
  <c r="R10" i="24"/>
  <c r="Q10" i="24"/>
  <c r="P10" i="24"/>
  <c r="O10" i="24"/>
  <c r="O138" i="24" s="1"/>
  <c r="N10" i="24"/>
  <c r="M10" i="24"/>
  <c r="L10" i="24"/>
  <c r="K10" i="24"/>
  <c r="K138" i="24" s="1"/>
  <c r="J10" i="24"/>
  <c r="J138" i="24" s="1"/>
  <c r="I10" i="24"/>
  <c r="I138" i="24" s="1"/>
  <c r="H10" i="24"/>
  <c r="H138" i="24" s="1"/>
  <c r="R5" i="24"/>
  <c r="Q5" i="24"/>
  <c r="P5" i="24"/>
  <c r="P137" i="24" s="1"/>
  <c r="O5" i="24"/>
  <c r="N5" i="24"/>
  <c r="M5" i="24"/>
  <c r="M104" i="24" s="1"/>
  <c r="L5" i="24"/>
  <c r="L137" i="24" s="1"/>
  <c r="K5" i="24"/>
  <c r="J5" i="24"/>
  <c r="I5" i="24"/>
  <c r="I103" i="24" s="1"/>
  <c r="H5" i="24"/>
  <c r="H137" i="24" s="1"/>
  <c r="Q4" i="24"/>
  <c r="Q136" i="24" s="1"/>
  <c r="O4" i="24"/>
  <c r="O136" i="24" s="1"/>
  <c r="M4" i="24"/>
  <c r="L4" i="24"/>
  <c r="K4" i="24"/>
  <c r="K31" i="24" s="1"/>
  <c r="H4" i="24"/>
  <c r="H110" i="24" s="1"/>
  <c r="R57" i="33" l="1"/>
  <c r="R73" i="33" s="1"/>
  <c r="R87" i="33"/>
  <c r="R95" i="33" s="1"/>
  <c r="Q106" i="33"/>
  <c r="Q109" i="33"/>
  <c r="Q115" i="33" s="1"/>
  <c r="Q119" i="33" s="1"/>
  <c r="Q127" i="33" s="1"/>
  <c r="P57" i="31"/>
  <c r="P73" i="31" s="1"/>
  <c r="P87" i="31"/>
  <c r="P95" i="31" s="1"/>
  <c r="Q32" i="31"/>
  <c r="O109" i="31"/>
  <c r="O115" i="31" s="1"/>
  <c r="O119" i="31" s="1"/>
  <c r="O127" i="31" s="1"/>
  <c r="O106" i="31"/>
  <c r="N109" i="30"/>
  <c r="N115" i="30" s="1"/>
  <c r="N119" i="30" s="1"/>
  <c r="N127" i="30" s="1"/>
  <c r="N106" i="30"/>
  <c r="O87" i="30"/>
  <c r="O95" i="30" s="1"/>
  <c r="O57" i="30"/>
  <c r="O73" i="30" s="1"/>
  <c r="P32" i="30"/>
  <c r="N109" i="29"/>
  <c r="N115" i="29" s="1"/>
  <c r="N119" i="29" s="1"/>
  <c r="N127" i="29" s="1"/>
  <c r="N106" i="29"/>
  <c r="O87" i="29"/>
  <c r="O95" i="29" s="1"/>
  <c r="O57" i="29"/>
  <c r="O73" i="29" s="1"/>
  <c r="P32" i="29"/>
  <c r="N109" i="28"/>
  <c r="N115" i="28" s="1"/>
  <c r="N119" i="28" s="1"/>
  <c r="N127" i="28" s="1"/>
  <c r="N106" i="28"/>
  <c r="O87" i="28"/>
  <c r="O95" i="28" s="1"/>
  <c r="O57" i="28"/>
  <c r="O73" i="28" s="1"/>
  <c r="P32" i="28"/>
  <c r="N57" i="27"/>
  <c r="N73" i="27" s="1"/>
  <c r="O32" i="27"/>
  <c r="N87" i="27"/>
  <c r="N95" i="27" s="1"/>
  <c r="M106" i="27"/>
  <c r="M109" i="27"/>
  <c r="M115" i="27" s="1"/>
  <c r="M119" i="27" s="1"/>
  <c r="M127" i="27" s="1"/>
  <c r="O134" i="26"/>
  <c r="O92" i="26"/>
  <c r="O88" i="26"/>
  <c r="O48" i="26"/>
  <c r="O51" i="26" s="1"/>
  <c r="O93" i="26"/>
  <c r="L135" i="26"/>
  <c r="L52" i="26"/>
  <c r="O125" i="26"/>
  <c r="O121" i="26"/>
  <c r="O124" i="26"/>
  <c r="O123" i="26"/>
  <c r="O122" i="26"/>
  <c r="O120" i="26"/>
  <c r="O102" i="26"/>
  <c r="O90" i="26"/>
  <c r="O100" i="26"/>
  <c r="K57" i="26"/>
  <c r="K73" i="26" s="1"/>
  <c r="K87" i="26"/>
  <c r="K95" i="26" s="1"/>
  <c r="L32" i="26"/>
  <c r="I123" i="26"/>
  <c r="H135" i="26"/>
  <c r="H52" i="26"/>
  <c r="N135" i="26"/>
  <c r="N52" i="26"/>
  <c r="R135" i="26"/>
  <c r="R52" i="26"/>
  <c r="J109" i="26"/>
  <c r="J115" i="26" s="1"/>
  <c r="J119" i="26" s="1"/>
  <c r="J127" i="26" s="1"/>
  <c r="J106" i="26"/>
  <c r="M135" i="26"/>
  <c r="M52" i="26"/>
  <c r="I135" i="26"/>
  <c r="I52" i="26"/>
  <c r="J135" i="26"/>
  <c r="J52" i="26"/>
  <c r="I125" i="26"/>
  <c r="L134" i="25"/>
  <c r="L93" i="25"/>
  <c r="L92" i="25"/>
  <c r="L48" i="25"/>
  <c r="L51" i="25" s="1"/>
  <c r="L88" i="25"/>
  <c r="M92" i="25"/>
  <c r="M93" i="25"/>
  <c r="M48" i="25"/>
  <c r="M51" i="25" s="1"/>
  <c r="M134" i="25"/>
  <c r="M88" i="25"/>
  <c r="J110" i="25"/>
  <c r="P99" i="25"/>
  <c r="P100" i="25"/>
  <c r="J102" i="25"/>
  <c r="J90" i="25"/>
  <c r="I134" i="25"/>
  <c r="I92" i="25"/>
  <c r="I48" i="25"/>
  <c r="I51" i="25" s="1"/>
  <c r="I93" i="25"/>
  <c r="I88" i="25"/>
  <c r="O110" i="25"/>
  <c r="Q136" i="25"/>
  <c r="Q107" i="25"/>
  <c r="Q31" i="25"/>
  <c r="M112" i="25"/>
  <c r="M114" i="25"/>
  <c r="H134" i="25"/>
  <c r="H92" i="25"/>
  <c r="H88" i="25"/>
  <c r="H48" i="25"/>
  <c r="H51" i="25" s="1"/>
  <c r="H93" i="25"/>
  <c r="M90" i="25"/>
  <c r="M102" i="25"/>
  <c r="Q124" i="25"/>
  <c r="Q120" i="25"/>
  <c r="Q123" i="25"/>
  <c r="Q122" i="25"/>
  <c r="Q125" i="25"/>
  <c r="Q121" i="25"/>
  <c r="Q102" i="25"/>
  <c r="Q90" i="25"/>
  <c r="J134" i="25"/>
  <c r="J93" i="25"/>
  <c r="J92" i="25"/>
  <c r="J88" i="25"/>
  <c r="J48" i="25"/>
  <c r="J51" i="25" s="1"/>
  <c r="H123" i="25"/>
  <c r="H122" i="25"/>
  <c r="H125" i="25"/>
  <c r="H120" i="25"/>
  <c r="H124" i="25"/>
  <c r="H121" i="25"/>
  <c r="J27" i="25"/>
  <c r="K29" i="25"/>
  <c r="J94" i="25"/>
  <c r="K136" i="25"/>
  <c r="K107" i="25"/>
  <c r="I102" i="25"/>
  <c r="I90" i="25"/>
  <c r="J125" i="25"/>
  <c r="J121" i="25"/>
  <c r="J124" i="25"/>
  <c r="J120" i="25"/>
  <c r="J122" i="25"/>
  <c r="J123" i="25"/>
  <c r="K100" i="25"/>
  <c r="K99" i="25"/>
  <c r="N90" i="25"/>
  <c r="N102" i="25"/>
  <c r="O100" i="25"/>
  <c r="O99" i="25"/>
  <c r="I136" i="25"/>
  <c r="I107" i="25"/>
  <c r="I31" i="25"/>
  <c r="Q100" i="25"/>
  <c r="Q99" i="25"/>
  <c r="L102" i="25"/>
  <c r="L90" i="25"/>
  <c r="N107" i="25"/>
  <c r="N136" i="25"/>
  <c r="N31" i="25"/>
  <c r="L99" i="25"/>
  <c r="L100" i="25"/>
  <c r="H99" i="25"/>
  <c r="H100" i="25"/>
  <c r="P123" i="25"/>
  <c r="P122" i="25"/>
  <c r="P125" i="25"/>
  <c r="P120" i="25"/>
  <c r="P121" i="25"/>
  <c r="P124" i="25"/>
  <c r="R107" i="25"/>
  <c r="R136" i="25"/>
  <c r="R31" i="25"/>
  <c r="N125" i="25"/>
  <c r="N121" i="25"/>
  <c r="N124" i="25"/>
  <c r="N120" i="25"/>
  <c r="N123" i="25"/>
  <c r="N122" i="25"/>
  <c r="I124" i="25"/>
  <c r="I120" i="25"/>
  <c r="I123" i="25"/>
  <c r="I122" i="25"/>
  <c r="I125" i="25"/>
  <c r="I121" i="25"/>
  <c r="J100" i="25"/>
  <c r="J99" i="25"/>
  <c r="I112" i="25"/>
  <c r="I110" i="25"/>
  <c r="I138" i="25"/>
  <c r="O102" i="25"/>
  <c r="O90" i="25"/>
  <c r="R102" i="25"/>
  <c r="R90" i="25"/>
  <c r="K135" i="25"/>
  <c r="K52" i="25"/>
  <c r="P92" i="25"/>
  <c r="P88" i="25"/>
  <c r="P48" i="25"/>
  <c r="P51" i="25" s="1"/>
  <c r="P134" i="25"/>
  <c r="P93" i="25"/>
  <c r="Q134" i="25"/>
  <c r="Q92" i="25"/>
  <c r="Q88" i="25"/>
  <c r="Q48" i="25"/>
  <c r="Q51" i="25" s="1"/>
  <c r="Q93" i="25"/>
  <c r="P102" i="25"/>
  <c r="P90" i="25"/>
  <c r="J87" i="25"/>
  <c r="J95" i="25" s="1"/>
  <c r="J57" i="25"/>
  <c r="J73" i="25" s="1"/>
  <c r="K32" i="25"/>
  <c r="J107" i="25"/>
  <c r="J136" i="25"/>
  <c r="R125" i="25"/>
  <c r="R121" i="25"/>
  <c r="R124" i="25"/>
  <c r="R120" i="25"/>
  <c r="R122" i="25"/>
  <c r="R123" i="25"/>
  <c r="M136" i="25"/>
  <c r="M107" i="25"/>
  <c r="M31" i="25"/>
  <c r="M124" i="25"/>
  <c r="M120" i="25"/>
  <c r="M123" i="25"/>
  <c r="M121" i="25"/>
  <c r="M122" i="25"/>
  <c r="M125" i="25"/>
  <c r="R110" i="25"/>
  <c r="N134" i="25"/>
  <c r="N93" i="25"/>
  <c r="N92" i="25"/>
  <c r="N88" i="25"/>
  <c r="N48" i="25"/>
  <c r="N51" i="25" s="1"/>
  <c r="O107" i="25"/>
  <c r="O136" i="25"/>
  <c r="O31" i="25"/>
  <c r="O122" i="25"/>
  <c r="O125" i="25"/>
  <c r="O121" i="25"/>
  <c r="O120" i="25"/>
  <c r="O123" i="25"/>
  <c r="O124" i="25"/>
  <c r="K102" i="25"/>
  <c r="K90" i="25"/>
  <c r="O134" i="25"/>
  <c r="O93" i="25"/>
  <c r="O88" i="25"/>
  <c r="O48" i="25"/>
  <c r="O51" i="25" s="1"/>
  <c r="O92" i="25"/>
  <c r="R100" i="25"/>
  <c r="R99" i="25"/>
  <c r="R52" i="25"/>
  <c r="R135" i="25"/>
  <c r="I100" i="25"/>
  <c r="I99" i="25"/>
  <c r="H136" i="25"/>
  <c r="H107" i="25"/>
  <c r="H31" i="25"/>
  <c r="N100" i="25"/>
  <c r="Q99" i="24"/>
  <c r="H132" i="24"/>
  <c r="H105" i="24"/>
  <c r="L132" i="24"/>
  <c r="L105" i="24"/>
  <c r="N99" i="24"/>
  <c r="R100" i="24"/>
  <c r="R99" i="24"/>
  <c r="O99" i="24"/>
  <c r="H109" i="24"/>
  <c r="H115" i="24" s="1"/>
  <c r="H119" i="24" s="1"/>
  <c r="H127" i="24" s="1"/>
  <c r="H106" i="24"/>
  <c r="J99" i="24"/>
  <c r="L110" i="24"/>
  <c r="M139" i="24"/>
  <c r="M18" i="24"/>
  <c r="M31" i="24" s="1"/>
  <c r="R108" i="24"/>
  <c r="R142" i="24"/>
  <c r="P113" i="24"/>
  <c r="P117" i="24"/>
  <c r="P116" i="24"/>
  <c r="P128" i="24"/>
  <c r="M136" i="24"/>
  <c r="M107" i="24"/>
  <c r="M110" i="24"/>
  <c r="M138" i="24"/>
  <c r="Q128" i="24"/>
  <c r="Q91" i="24"/>
  <c r="Q46" i="24"/>
  <c r="N46" i="24"/>
  <c r="Q103" i="24"/>
  <c r="Q137" i="24"/>
  <c r="K97" i="24"/>
  <c r="K98" i="24" s="1"/>
  <c r="K139" i="24"/>
  <c r="H114" i="24"/>
  <c r="H108" i="24"/>
  <c r="H142" i="24"/>
  <c r="O31" i="24"/>
  <c r="J116" i="24"/>
  <c r="J117" i="24"/>
  <c r="K105" i="24"/>
  <c r="J46" i="24"/>
  <c r="N89" i="24"/>
  <c r="H91" i="24"/>
  <c r="H99" i="24"/>
  <c r="Q113" i="24"/>
  <c r="H116" i="24"/>
  <c r="Q117" i="24"/>
  <c r="Q118" i="24"/>
  <c r="P4" i="24"/>
  <c r="J137" i="24"/>
  <c r="J104" i="24"/>
  <c r="J4" i="24"/>
  <c r="J114" i="24" s="1"/>
  <c r="N137" i="24"/>
  <c r="N104" i="24"/>
  <c r="N4" i="24"/>
  <c r="N112" i="24" s="1"/>
  <c r="R137" i="24"/>
  <c r="R104" i="24"/>
  <c r="R4" i="24"/>
  <c r="H18" i="24"/>
  <c r="N18" i="24"/>
  <c r="M108" i="24"/>
  <c r="M142" i="24"/>
  <c r="Q114" i="24"/>
  <c r="Q31" i="24"/>
  <c r="K46" i="24"/>
  <c r="P46" i="24"/>
  <c r="J89" i="24"/>
  <c r="J100" i="24" s="1"/>
  <c r="P89" i="24"/>
  <c r="J91" i="24"/>
  <c r="P97" i="24"/>
  <c r="P98" i="24" s="1"/>
  <c r="P103" i="24"/>
  <c r="P104" i="24"/>
  <c r="P105" i="24"/>
  <c r="O107" i="24"/>
  <c r="J108" i="24"/>
  <c r="Q108" i="24"/>
  <c r="J110" i="24"/>
  <c r="P112" i="24"/>
  <c r="N114" i="24"/>
  <c r="L116" i="24"/>
  <c r="R118" i="24"/>
  <c r="N128" i="24"/>
  <c r="K131" i="24"/>
  <c r="K132" i="24"/>
  <c r="Q133" i="24"/>
  <c r="N138" i="24"/>
  <c r="J142" i="24"/>
  <c r="H113" i="24"/>
  <c r="H112" i="24"/>
  <c r="I131" i="24"/>
  <c r="I118" i="24"/>
  <c r="I133" i="24"/>
  <c r="L46" i="24"/>
  <c r="R92" i="24"/>
  <c r="R88" i="24"/>
  <c r="R48" i="24"/>
  <c r="R51" i="24" s="1"/>
  <c r="R134" i="24"/>
  <c r="L89" i="24"/>
  <c r="Q89" i="24"/>
  <c r="Q100" i="24" s="1"/>
  <c r="P91" i="24"/>
  <c r="L103" i="24"/>
  <c r="L104" i="24"/>
  <c r="Q104" i="24"/>
  <c r="Q105" i="24"/>
  <c r="L108" i="24"/>
  <c r="J112" i="24"/>
  <c r="Q112" i="24"/>
  <c r="O114" i="24"/>
  <c r="M116" i="24"/>
  <c r="L117" i="24"/>
  <c r="K118" i="24"/>
  <c r="H128" i="24"/>
  <c r="M131" i="24"/>
  <c r="K133" i="24"/>
  <c r="I137" i="24"/>
  <c r="O139" i="24"/>
  <c r="L31" i="24"/>
  <c r="L136" i="24"/>
  <c r="Q110" i="24"/>
  <c r="Q138" i="24"/>
  <c r="I87" i="24"/>
  <c r="I95" i="24" s="1"/>
  <c r="I57" i="24"/>
  <c r="I73" i="24" s="1"/>
  <c r="J32" i="24"/>
  <c r="J133" i="24"/>
  <c r="J131" i="24"/>
  <c r="J118" i="24"/>
  <c r="H89" i="24"/>
  <c r="H100" i="24" s="1"/>
  <c r="M89" i="24"/>
  <c r="R89" i="24"/>
  <c r="L91" i="24"/>
  <c r="R91" i="24"/>
  <c r="M97" i="24"/>
  <c r="M98" i="24" s="1"/>
  <c r="L99" i="24"/>
  <c r="H103" i="24"/>
  <c r="H104" i="24"/>
  <c r="M105" i="24"/>
  <c r="R105" i="24"/>
  <c r="Q107" i="24"/>
  <c r="N108" i="24"/>
  <c r="R114" i="24"/>
  <c r="M118" i="24"/>
  <c r="J128" i="24"/>
  <c r="I139" i="24"/>
  <c r="P142" i="24"/>
  <c r="Q18" i="24"/>
  <c r="Q139" i="24"/>
  <c r="L113" i="24"/>
  <c r="L128" i="24"/>
  <c r="H136" i="24"/>
  <c r="H107" i="24"/>
  <c r="H31" i="24"/>
  <c r="I110" i="24"/>
  <c r="I128" i="24"/>
  <c r="I117" i="24"/>
  <c r="I91" i="24"/>
  <c r="I46" i="24"/>
  <c r="I116" i="24"/>
  <c r="M128" i="24"/>
  <c r="M113" i="24"/>
  <c r="M112" i="24"/>
  <c r="M91" i="24"/>
  <c r="M46" i="24"/>
  <c r="N133" i="24"/>
  <c r="N131" i="24"/>
  <c r="N118" i="24"/>
  <c r="H46" i="24"/>
  <c r="I4" i="24"/>
  <c r="I112" i="24" s="1"/>
  <c r="M137" i="24"/>
  <c r="M103" i="24"/>
  <c r="R138" i="24"/>
  <c r="R110" i="24"/>
  <c r="R18" i="24"/>
  <c r="L114" i="24"/>
  <c r="N116" i="24"/>
  <c r="N117" i="24"/>
  <c r="R116" i="24"/>
  <c r="R128" i="24"/>
  <c r="R113" i="24"/>
  <c r="R112" i="24"/>
  <c r="O133" i="24"/>
  <c r="O131" i="24"/>
  <c r="O118" i="24"/>
  <c r="O105" i="24"/>
  <c r="O46" i="24"/>
  <c r="I89" i="24"/>
  <c r="N91" i="24"/>
  <c r="R93" i="24"/>
  <c r="I97" i="24"/>
  <c r="I98" i="24" s="1"/>
  <c r="I104" i="24"/>
  <c r="I105" i="24"/>
  <c r="L107" i="24"/>
  <c r="P108" i="24"/>
  <c r="O110" i="24"/>
  <c r="J113" i="24"/>
  <c r="M114" i="24"/>
  <c r="Q116" i="24"/>
  <c r="R131" i="24"/>
  <c r="Q142" i="24"/>
  <c r="O125" i="24"/>
  <c r="O121" i="24"/>
  <c r="K142" i="24"/>
  <c r="K108" i="24"/>
  <c r="O142" i="24"/>
  <c r="O108" i="24"/>
  <c r="K117" i="24"/>
  <c r="K112" i="24"/>
  <c r="O117" i="24"/>
  <c r="O112" i="24"/>
  <c r="H131" i="24"/>
  <c r="H118" i="24"/>
  <c r="L131" i="24"/>
  <c r="L118" i="24"/>
  <c r="P131" i="24"/>
  <c r="P118" i="24"/>
  <c r="K89" i="24"/>
  <c r="O89" i="24"/>
  <c r="K114" i="24"/>
  <c r="K116" i="24"/>
  <c r="O120" i="24"/>
  <c r="M142" i="23"/>
  <c r="I142" i="23"/>
  <c r="R141" i="23"/>
  <c r="Q141" i="23"/>
  <c r="P141" i="23"/>
  <c r="O141" i="23"/>
  <c r="N141" i="23"/>
  <c r="M141" i="23"/>
  <c r="L141" i="23"/>
  <c r="K141" i="23"/>
  <c r="J141" i="23"/>
  <c r="I141" i="23"/>
  <c r="H141" i="23"/>
  <c r="R140" i="23"/>
  <c r="Q140" i="23"/>
  <c r="P140" i="23"/>
  <c r="O140" i="23"/>
  <c r="N140" i="23"/>
  <c r="M140" i="23"/>
  <c r="L140" i="23"/>
  <c r="K140" i="23"/>
  <c r="J140" i="23"/>
  <c r="I140" i="23"/>
  <c r="H140" i="23"/>
  <c r="M138" i="23"/>
  <c r="I138" i="23"/>
  <c r="P137" i="23"/>
  <c r="H137" i="23"/>
  <c r="M135" i="23"/>
  <c r="J132" i="23"/>
  <c r="R130" i="23"/>
  <c r="Q130" i="23"/>
  <c r="P130" i="23"/>
  <c r="N130" i="23"/>
  <c r="M130" i="23"/>
  <c r="L130" i="23"/>
  <c r="K130" i="23"/>
  <c r="J130" i="23"/>
  <c r="I130" i="23"/>
  <c r="H130" i="23"/>
  <c r="R129" i="23"/>
  <c r="Q129" i="23"/>
  <c r="P129" i="23"/>
  <c r="O129" i="23"/>
  <c r="N129" i="23"/>
  <c r="M129" i="23"/>
  <c r="L129" i="23"/>
  <c r="K129" i="23"/>
  <c r="J129" i="23"/>
  <c r="I129" i="23"/>
  <c r="H129" i="23"/>
  <c r="Q117" i="23"/>
  <c r="I117" i="23"/>
  <c r="E114" i="23"/>
  <c r="R111" i="23"/>
  <c r="Q111" i="23"/>
  <c r="P111" i="23"/>
  <c r="O111" i="23"/>
  <c r="N111" i="23"/>
  <c r="M111" i="23"/>
  <c r="L111" i="23"/>
  <c r="K111" i="23"/>
  <c r="J111" i="23"/>
  <c r="I111" i="23"/>
  <c r="H111" i="23"/>
  <c r="J105" i="23"/>
  <c r="P104" i="23"/>
  <c r="L104" i="23"/>
  <c r="H104" i="23"/>
  <c r="P103" i="23"/>
  <c r="L103" i="23"/>
  <c r="K103" i="23"/>
  <c r="H103" i="23"/>
  <c r="R101" i="23"/>
  <c r="Q101" i="23"/>
  <c r="P101" i="23"/>
  <c r="O101" i="23"/>
  <c r="N101" i="23"/>
  <c r="M101" i="23"/>
  <c r="L101" i="23"/>
  <c r="K101" i="23"/>
  <c r="J101" i="23"/>
  <c r="I101" i="23"/>
  <c r="H101" i="23"/>
  <c r="K98" i="23"/>
  <c r="K97" i="23"/>
  <c r="R96" i="23"/>
  <c r="Q96" i="23"/>
  <c r="P96" i="23"/>
  <c r="O96" i="23"/>
  <c r="N96" i="23"/>
  <c r="M96" i="23"/>
  <c r="L96" i="23"/>
  <c r="K96" i="23"/>
  <c r="J96" i="23"/>
  <c r="I96" i="23"/>
  <c r="H96" i="23"/>
  <c r="R94" i="23"/>
  <c r="Q94" i="23"/>
  <c r="P94" i="23"/>
  <c r="O94" i="23"/>
  <c r="N94" i="23"/>
  <c r="M94" i="23"/>
  <c r="L94" i="23"/>
  <c r="K94" i="23"/>
  <c r="J94" i="23"/>
  <c r="I94" i="23"/>
  <c r="H94" i="23"/>
  <c r="I91" i="23"/>
  <c r="J89" i="23"/>
  <c r="J102" i="23" s="1"/>
  <c r="H87" i="23"/>
  <c r="H95" i="23" s="1"/>
  <c r="R85" i="23"/>
  <c r="Q85" i="23"/>
  <c r="P85" i="23"/>
  <c r="O85" i="23"/>
  <c r="N85" i="23"/>
  <c r="M85" i="23"/>
  <c r="L85" i="23"/>
  <c r="K85" i="23"/>
  <c r="J85" i="23"/>
  <c r="I85" i="23"/>
  <c r="H85" i="23"/>
  <c r="R71" i="23"/>
  <c r="Q71" i="23"/>
  <c r="P71" i="23"/>
  <c r="O71" i="23"/>
  <c r="N71" i="23"/>
  <c r="M71" i="23"/>
  <c r="L71" i="23"/>
  <c r="K71" i="23"/>
  <c r="J71" i="23"/>
  <c r="I71" i="23"/>
  <c r="H71" i="23"/>
  <c r="H57" i="23"/>
  <c r="H73" i="23" s="1"/>
  <c r="M52" i="23"/>
  <c r="J46" i="23"/>
  <c r="R41" i="23"/>
  <c r="R132" i="23" s="1"/>
  <c r="Q41" i="23"/>
  <c r="Q132" i="23" s="1"/>
  <c r="P41" i="23"/>
  <c r="P132" i="23" s="1"/>
  <c r="O41" i="23"/>
  <c r="N41" i="23"/>
  <c r="N132" i="23" s="1"/>
  <c r="M41" i="23"/>
  <c r="M132" i="23" s="1"/>
  <c r="L41" i="23"/>
  <c r="L132" i="23" s="1"/>
  <c r="K41" i="23"/>
  <c r="K132" i="23" s="1"/>
  <c r="J41" i="23"/>
  <c r="J118" i="23" s="1"/>
  <c r="I41" i="23"/>
  <c r="I132" i="23" s="1"/>
  <c r="H41" i="23"/>
  <c r="H132" i="23" s="1"/>
  <c r="R38" i="23"/>
  <c r="Q38" i="23"/>
  <c r="Q91" i="23" s="1"/>
  <c r="P38" i="23"/>
  <c r="O38" i="23"/>
  <c r="N38" i="23"/>
  <c r="M38" i="23"/>
  <c r="L38" i="23"/>
  <c r="K38" i="23"/>
  <c r="J38" i="23"/>
  <c r="I38" i="23"/>
  <c r="H38" i="23"/>
  <c r="R33" i="23"/>
  <c r="Q33" i="23"/>
  <c r="P33" i="23"/>
  <c r="O33" i="23"/>
  <c r="N33" i="23"/>
  <c r="M33" i="23"/>
  <c r="L33" i="23"/>
  <c r="L116" i="23" s="1"/>
  <c r="K33" i="23"/>
  <c r="J33" i="23"/>
  <c r="I33" i="23"/>
  <c r="H33" i="23"/>
  <c r="I32" i="23"/>
  <c r="R27" i="23"/>
  <c r="Q27" i="23"/>
  <c r="P27" i="23"/>
  <c r="O27" i="23"/>
  <c r="N27" i="23"/>
  <c r="M27" i="23"/>
  <c r="L27" i="23"/>
  <c r="K27" i="23"/>
  <c r="J27" i="23"/>
  <c r="I27" i="23"/>
  <c r="H27" i="23"/>
  <c r="R19" i="23"/>
  <c r="Q19" i="23"/>
  <c r="Q139" i="23" s="1"/>
  <c r="P19" i="23"/>
  <c r="O19" i="23"/>
  <c r="O139" i="23" s="1"/>
  <c r="N19" i="23"/>
  <c r="M19" i="23"/>
  <c r="L19" i="23"/>
  <c r="K19" i="23"/>
  <c r="K139" i="23" s="1"/>
  <c r="J19" i="23"/>
  <c r="I19" i="23"/>
  <c r="H19" i="23"/>
  <c r="P18" i="23"/>
  <c r="P31" i="23" s="1"/>
  <c r="M18" i="23"/>
  <c r="L18" i="23"/>
  <c r="H18" i="23"/>
  <c r="H31" i="23" s="1"/>
  <c r="R10" i="23"/>
  <c r="Q10" i="23"/>
  <c r="P10" i="23"/>
  <c r="O10" i="23"/>
  <c r="N10" i="23"/>
  <c r="L10" i="23"/>
  <c r="L138" i="23" s="1"/>
  <c r="K10" i="23"/>
  <c r="J10" i="23"/>
  <c r="I10" i="23"/>
  <c r="H10" i="23"/>
  <c r="H138" i="23" s="1"/>
  <c r="R5" i="23"/>
  <c r="Q5" i="23"/>
  <c r="P5" i="23"/>
  <c r="O5" i="23"/>
  <c r="O103" i="23" s="1"/>
  <c r="N5" i="23"/>
  <c r="M5" i="23"/>
  <c r="L5" i="23"/>
  <c r="L137" i="23" s="1"/>
  <c r="K5" i="23"/>
  <c r="J5" i="23"/>
  <c r="I5" i="23"/>
  <c r="H5" i="23"/>
  <c r="P4" i="23"/>
  <c r="M4" i="23"/>
  <c r="L4" i="23"/>
  <c r="H4" i="23"/>
  <c r="R106" i="33" l="1"/>
  <c r="R109" i="33"/>
  <c r="R115" i="33" s="1"/>
  <c r="R119" i="33" s="1"/>
  <c r="R127" i="33" s="1"/>
  <c r="Q87" i="31"/>
  <c r="Q95" i="31" s="1"/>
  <c r="R32" i="31"/>
  <c r="Q57" i="31"/>
  <c r="Q73" i="31" s="1"/>
  <c r="P106" i="31"/>
  <c r="P109" i="31"/>
  <c r="P115" i="31" s="1"/>
  <c r="P119" i="31" s="1"/>
  <c r="P127" i="31" s="1"/>
  <c r="O109" i="30"/>
  <c r="O115" i="30" s="1"/>
  <c r="O119" i="30" s="1"/>
  <c r="O127" i="30" s="1"/>
  <c r="O106" i="30"/>
  <c r="P87" i="30"/>
  <c r="P95" i="30" s="1"/>
  <c r="P57" i="30"/>
  <c r="P73" i="30" s="1"/>
  <c r="Q32" i="30"/>
  <c r="O109" i="29"/>
  <c r="O115" i="29" s="1"/>
  <c r="O119" i="29" s="1"/>
  <c r="O127" i="29" s="1"/>
  <c r="O106" i="29"/>
  <c r="Q32" i="29"/>
  <c r="P87" i="29"/>
  <c r="P95" i="29" s="1"/>
  <c r="P57" i="29"/>
  <c r="P73" i="29" s="1"/>
  <c r="P57" i="28"/>
  <c r="P73" i="28" s="1"/>
  <c r="Q32" i="28"/>
  <c r="P87" i="28"/>
  <c r="P95" i="28" s="1"/>
  <c r="O109" i="28"/>
  <c r="O115" i="28" s="1"/>
  <c r="O119" i="28" s="1"/>
  <c r="O127" i="28" s="1"/>
  <c r="O106" i="28"/>
  <c r="N106" i="27"/>
  <c r="N109" i="27"/>
  <c r="N115" i="27" s="1"/>
  <c r="N119" i="27" s="1"/>
  <c r="N127" i="27" s="1"/>
  <c r="P32" i="27"/>
  <c r="O87" i="27"/>
  <c r="O95" i="27" s="1"/>
  <c r="O57" i="27"/>
  <c r="O73" i="27" s="1"/>
  <c r="O135" i="26"/>
  <c r="O52" i="26"/>
  <c r="L57" i="26"/>
  <c r="L73" i="26" s="1"/>
  <c r="M32" i="26"/>
  <c r="L87" i="26"/>
  <c r="L95" i="26" s="1"/>
  <c r="K109" i="26"/>
  <c r="K115" i="26" s="1"/>
  <c r="K119" i="26" s="1"/>
  <c r="K127" i="26" s="1"/>
  <c r="K106" i="26"/>
  <c r="N135" i="25"/>
  <c r="N52" i="25"/>
  <c r="P135" i="25"/>
  <c r="P52" i="25"/>
  <c r="J142" i="25"/>
  <c r="J108" i="25"/>
  <c r="J114" i="25"/>
  <c r="J18" i="25"/>
  <c r="J31" i="25" s="1"/>
  <c r="O135" i="25"/>
  <c r="O52" i="25"/>
  <c r="M135" i="25"/>
  <c r="M52" i="25"/>
  <c r="L135" i="25"/>
  <c r="L52" i="25"/>
  <c r="J109" i="25"/>
  <c r="J115" i="25" s="1"/>
  <c r="J119" i="25" s="1"/>
  <c r="J127" i="25" s="1"/>
  <c r="J106" i="25"/>
  <c r="Q135" i="25"/>
  <c r="Q52" i="25"/>
  <c r="K94" i="25"/>
  <c r="K27" i="25"/>
  <c r="L29" i="25"/>
  <c r="J135" i="25"/>
  <c r="J52" i="25"/>
  <c r="H135" i="25"/>
  <c r="H52" i="25"/>
  <c r="I135" i="25"/>
  <c r="I52" i="25"/>
  <c r="K87" i="25"/>
  <c r="K95" i="25" s="1"/>
  <c r="L32" i="25"/>
  <c r="K57" i="25"/>
  <c r="K73" i="25" s="1"/>
  <c r="K90" i="24"/>
  <c r="K102" i="24"/>
  <c r="K125" i="24"/>
  <c r="K121" i="24"/>
  <c r="K124" i="24"/>
  <c r="K123" i="24"/>
  <c r="K122" i="24"/>
  <c r="K120" i="24"/>
  <c r="H134" i="24"/>
  <c r="H48" i="24"/>
  <c r="H51" i="24" s="1"/>
  <c r="H88" i="24"/>
  <c r="H93" i="24"/>
  <c r="H92" i="24"/>
  <c r="I102" i="24"/>
  <c r="I90" i="24"/>
  <c r="I123" i="24"/>
  <c r="I122" i="24"/>
  <c r="I121" i="24"/>
  <c r="I120" i="24"/>
  <c r="I125" i="24"/>
  <c r="I124" i="24"/>
  <c r="R90" i="24"/>
  <c r="R102" i="24"/>
  <c r="I106" i="24"/>
  <c r="I109" i="24"/>
  <c r="I115" i="24" s="1"/>
  <c r="I119" i="24" s="1"/>
  <c r="I127" i="24" s="1"/>
  <c r="M123" i="24"/>
  <c r="M125" i="24"/>
  <c r="M124" i="24"/>
  <c r="M122" i="24"/>
  <c r="M121" i="24"/>
  <c r="M120" i="24"/>
  <c r="L134" i="24"/>
  <c r="L93" i="24"/>
  <c r="L92" i="24"/>
  <c r="L88" i="24"/>
  <c r="L48" i="24"/>
  <c r="L51" i="24" s="1"/>
  <c r="P100" i="24"/>
  <c r="P99" i="24"/>
  <c r="P134" i="24"/>
  <c r="P93" i="24"/>
  <c r="P92" i="24"/>
  <c r="P88" i="24"/>
  <c r="P48" i="24"/>
  <c r="P51" i="24" s="1"/>
  <c r="R107" i="24"/>
  <c r="R136" i="24"/>
  <c r="R31" i="24"/>
  <c r="H122" i="24"/>
  <c r="H121" i="24"/>
  <c r="H125" i="24"/>
  <c r="H124" i="24"/>
  <c r="H123" i="24"/>
  <c r="H120" i="24"/>
  <c r="K100" i="24"/>
  <c r="K99" i="24"/>
  <c r="Q93" i="24"/>
  <c r="Q92" i="24"/>
  <c r="Q88" i="24"/>
  <c r="Q48" i="24"/>
  <c r="Q51" i="24" s="1"/>
  <c r="Q134" i="24"/>
  <c r="P122" i="24"/>
  <c r="P121" i="24"/>
  <c r="P125" i="24"/>
  <c r="P124" i="24"/>
  <c r="P123" i="24"/>
  <c r="P120" i="24"/>
  <c r="O90" i="24"/>
  <c r="O102" i="24"/>
  <c r="Q123" i="24"/>
  <c r="Q124" i="24"/>
  <c r="Q125" i="24"/>
  <c r="Q122" i="24"/>
  <c r="Q121" i="24"/>
  <c r="Q120" i="24"/>
  <c r="I99" i="24"/>
  <c r="I100" i="24"/>
  <c r="O134" i="24"/>
  <c r="O93" i="24"/>
  <c r="O48" i="24"/>
  <c r="O51" i="24" s="1"/>
  <c r="O92" i="24"/>
  <c r="O88" i="24"/>
  <c r="R124" i="24"/>
  <c r="R120" i="24"/>
  <c r="R121" i="24"/>
  <c r="R125" i="24"/>
  <c r="R123" i="24"/>
  <c r="R122" i="24"/>
  <c r="I134" i="24"/>
  <c r="I88" i="24"/>
  <c r="I93" i="24"/>
  <c r="I92" i="24"/>
  <c r="I48" i="24"/>
  <c r="I51" i="24" s="1"/>
  <c r="M99" i="24"/>
  <c r="M100" i="24"/>
  <c r="M90" i="24"/>
  <c r="M102" i="24"/>
  <c r="R135" i="24"/>
  <c r="R52" i="24"/>
  <c r="L122" i="24"/>
  <c r="L123" i="24"/>
  <c r="L125" i="24"/>
  <c r="L124" i="24"/>
  <c r="L121" i="24"/>
  <c r="L120" i="24"/>
  <c r="K134" i="24"/>
  <c r="K93" i="24"/>
  <c r="K92" i="24"/>
  <c r="K88" i="24"/>
  <c r="K48" i="24"/>
  <c r="K51" i="24" s="1"/>
  <c r="P31" i="24"/>
  <c r="P107" i="24"/>
  <c r="P136" i="24"/>
  <c r="P110" i="24"/>
  <c r="N90" i="24"/>
  <c r="N102" i="24"/>
  <c r="J124" i="24"/>
  <c r="J120" i="24"/>
  <c r="J125" i="24"/>
  <c r="J123" i="24"/>
  <c r="J122" i="24"/>
  <c r="J121" i="24"/>
  <c r="O100" i="24"/>
  <c r="N110" i="24"/>
  <c r="I136" i="24"/>
  <c r="I114" i="24"/>
  <c r="I107" i="24"/>
  <c r="I31" i="24"/>
  <c r="H102" i="24"/>
  <c r="H90" i="24"/>
  <c r="J87" i="24"/>
  <c r="J95" i="24" s="1"/>
  <c r="K32" i="24"/>
  <c r="J57" i="24"/>
  <c r="J73" i="24" s="1"/>
  <c r="Q90" i="24"/>
  <c r="Q102" i="24"/>
  <c r="P102" i="24"/>
  <c r="P90" i="24"/>
  <c r="J107" i="24"/>
  <c r="J31" i="24"/>
  <c r="J136" i="24"/>
  <c r="J92" i="24"/>
  <c r="J88" i="24"/>
  <c r="J48" i="24"/>
  <c r="J51" i="24" s="1"/>
  <c r="J134" i="24"/>
  <c r="J93" i="24"/>
  <c r="N124" i="24"/>
  <c r="N120" i="24"/>
  <c r="N123" i="24"/>
  <c r="N122" i="24"/>
  <c r="N121" i="24"/>
  <c r="N125" i="24"/>
  <c r="M134" i="24"/>
  <c r="M92" i="24"/>
  <c r="M88" i="24"/>
  <c r="M48" i="24"/>
  <c r="M51" i="24" s="1"/>
  <c r="M93" i="24"/>
  <c r="L102" i="24"/>
  <c r="L90" i="24"/>
  <c r="J102" i="24"/>
  <c r="J90" i="24"/>
  <c r="N107" i="24"/>
  <c r="N136" i="24"/>
  <c r="N31" i="24"/>
  <c r="P114" i="24"/>
  <c r="N134" i="24"/>
  <c r="N92" i="24"/>
  <c r="N88" i="24"/>
  <c r="N48" i="24"/>
  <c r="N51" i="24" s="1"/>
  <c r="N93" i="24"/>
  <c r="N100" i="24"/>
  <c r="L100" i="24"/>
  <c r="L136" i="23"/>
  <c r="L107" i="23"/>
  <c r="I139" i="23"/>
  <c r="I97" i="23"/>
  <c r="I98" i="23" s="1"/>
  <c r="M139" i="23"/>
  <c r="M97" i="23"/>
  <c r="M98" i="23" s="1"/>
  <c r="J142" i="23"/>
  <c r="J108" i="23"/>
  <c r="N142" i="23"/>
  <c r="N108" i="23"/>
  <c r="R142" i="23"/>
  <c r="R108" i="23"/>
  <c r="L123" i="23"/>
  <c r="L125" i="23"/>
  <c r="L121" i="23"/>
  <c r="L122" i="23"/>
  <c r="L120" i="23"/>
  <c r="L124" i="23"/>
  <c r="H109" i="23"/>
  <c r="H115" i="23" s="1"/>
  <c r="H119" i="23" s="1"/>
  <c r="H127" i="23" s="1"/>
  <c r="H106" i="23"/>
  <c r="Q97" i="23"/>
  <c r="Q98" i="23" s="1"/>
  <c r="M136" i="23"/>
  <c r="M110" i="23"/>
  <c r="M107" i="23"/>
  <c r="M112" i="23"/>
  <c r="M31" i="23"/>
  <c r="I137" i="23"/>
  <c r="I104" i="23"/>
  <c r="I103" i="23"/>
  <c r="M137" i="23"/>
  <c r="M104" i="23"/>
  <c r="M103" i="23"/>
  <c r="Q137" i="23"/>
  <c r="Q104" i="23"/>
  <c r="Q103" i="23"/>
  <c r="J138" i="23"/>
  <c r="O138" i="23"/>
  <c r="J139" i="23"/>
  <c r="J97" i="23"/>
  <c r="J98" i="23" s="1"/>
  <c r="J18" i="23"/>
  <c r="N139" i="23"/>
  <c r="N97" i="23"/>
  <c r="N98" i="23" s="1"/>
  <c r="N18" i="23"/>
  <c r="R97" i="23"/>
  <c r="R98" i="23" s="1"/>
  <c r="R139" i="23"/>
  <c r="R18" i="23"/>
  <c r="K142" i="23"/>
  <c r="K108" i="23"/>
  <c r="O142" i="23"/>
  <c r="O108" i="23"/>
  <c r="J134" i="23"/>
  <c r="J48" i="23"/>
  <c r="J51" i="23" s="1"/>
  <c r="J92" i="23"/>
  <c r="J93" i="23"/>
  <c r="H136" i="23"/>
  <c r="H107" i="23"/>
  <c r="P136" i="23"/>
  <c r="P107" i="23"/>
  <c r="J137" i="23"/>
  <c r="J103" i="23"/>
  <c r="J104" i="23"/>
  <c r="J4" i="23"/>
  <c r="J114" i="23" s="1"/>
  <c r="N137" i="23"/>
  <c r="N103" i="23"/>
  <c r="N4" i="23"/>
  <c r="N104" i="23"/>
  <c r="R137" i="23"/>
  <c r="R103" i="23"/>
  <c r="R4" i="23"/>
  <c r="R104" i="23"/>
  <c r="K138" i="23"/>
  <c r="P138" i="23"/>
  <c r="P110" i="23"/>
  <c r="I18" i="23"/>
  <c r="Q18" i="23"/>
  <c r="I57" i="23"/>
  <c r="I73" i="23" s="1"/>
  <c r="I87" i="23"/>
  <c r="I95" i="23" s="1"/>
  <c r="J117" i="23"/>
  <c r="J128" i="23"/>
  <c r="J116" i="23"/>
  <c r="J112" i="23"/>
  <c r="J91" i="23"/>
  <c r="J113" i="23"/>
  <c r="N117" i="23"/>
  <c r="N128" i="23"/>
  <c r="N116" i="23"/>
  <c r="N91" i="23"/>
  <c r="N113" i="23"/>
  <c r="N89" i="23"/>
  <c r="N46" i="23"/>
  <c r="R117" i="23"/>
  <c r="R128" i="23"/>
  <c r="R116" i="23"/>
  <c r="R91" i="23"/>
  <c r="R113" i="23"/>
  <c r="R89" i="23"/>
  <c r="R46" i="23"/>
  <c r="K118" i="23"/>
  <c r="K133" i="23"/>
  <c r="K131" i="23"/>
  <c r="K105" i="23"/>
  <c r="O118" i="23"/>
  <c r="O133" i="23"/>
  <c r="O105" i="23"/>
  <c r="O46" i="23"/>
  <c r="O89" i="23"/>
  <c r="O91" i="23"/>
  <c r="I4" i="23"/>
  <c r="I110" i="23" s="1"/>
  <c r="Q4" i="23"/>
  <c r="L31" i="23"/>
  <c r="J32" i="23"/>
  <c r="K116" i="23"/>
  <c r="K117" i="23"/>
  <c r="K91" i="23"/>
  <c r="K89" i="23"/>
  <c r="K128" i="23"/>
  <c r="K113" i="23"/>
  <c r="K46" i="23"/>
  <c r="O116" i="23"/>
  <c r="O117" i="23"/>
  <c r="O113" i="23"/>
  <c r="H118" i="23"/>
  <c r="H105" i="23"/>
  <c r="H133" i="23"/>
  <c r="H131" i="23"/>
  <c r="L118" i="23"/>
  <c r="L133" i="23"/>
  <c r="L105" i="23"/>
  <c r="L131" i="23"/>
  <c r="P131" i="23"/>
  <c r="P118" i="23"/>
  <c r="P105" i="23"/>
  <c r="P46" i="23"/>
  <c r="P133" i="23"/>
  <c r="P91" i="23"/>
  <c r="J88" i="23"/>
  <c r="J90" i="23"/>
  <c r="K99" i="23"/>
  <c r="K137" i="23"/>
  <c r="K104" i="23"/>
  <c r="H142" i="23"/>
  <c r="H108" i="23"/>
  <c r="H114" i="23"/>
  <c r="P142" i="23"/>
  <c r="P108" i="23"/>
  <c r="P114" i="23"/>
  <c r="H128" i="23"/>
  <c r="H117" i="23"/>
  <c r="H112" i="23"/>
  <c r="H113" i="23"/>
  <c r="H116" i="23"/>
  <c r="H89" i="23"/>
  <c r="P117" i="23"/>
  <c r="P112" i="23"/>
  <c r="P113" i="23"/>
  <c r="P128" i="23"/>
  <c r="P89" i="23"/>
  <c r="I133" i="23"/>
  <c r="I131" i="23"/>
  <c r="I118" i="23"/>
  <c r="M133" i="23"/>
  <c r="M131" i="23"/>
  <c r="M118" i="23"/>
  <c r="L46" i="23"/>
  <c r="M89" i="23"/>
  <c r="L91" i="23"/>
  <c r="M105" i="23"/>
  <c r="H110" i="23"/>
  <c r="K4" i="23"/>
  <c r="K114" i="23" s="1"/>
  <c r="O4" i="23"/>
  <c r="O112" i="23" s="1"/>
  <c r="N138" i="23"/>
  <c r="N110" i="23"/>
  <c r="R138" i="23"/>
  <c r="K18" i="23"/>
  <c r="O18" i="23"/>
  <c r="H139" i="23"/>
  <c r="H97" i="23"/>
  <c r="H98" i="23" s="1"/>
  <c r="L139" i="23"/>
  <c r="L97" i="23"/>
  <c r="L98" i="23" s="1"/>
  <c r="P139" i="23"/>
  <c r="P97" i="23"/>
  <c r="P98" i="23" s="1"/>
  <c r="I114" i="23"/>
  <c r="I108" i="23"/>
  <c r="M114" i="23"/>
  <c r="Q142" i="23"/>
  <c r="Q114" i="23"/>
  <c r="Q108" i="23"/>
  <c r="I116" i="23"/>
  <c r="I113" i="23"/>
  <c r="I128" i="23"/>
  <c r="I46" i="23"/>
  <c r="M116" i="23"/>
  <c r="M113" i="23"/>
  <c r="M128" i="23"/>
  <c r="M117" i="23"/>
  <c r="M46" i="23"/>
  <c r="Q128" i="23"/>
  <c r="Q116" i="23"/>
  <c r="Q113" i="23"/>
  <c r="Q46" i="23"/>
  <c r="J133" i="23"/>
  <c r="J131" i="23"/>
  <c r="N133" i="23"/>
  <c r="N131" i="23"/>
  <c r="R131" i="23"/>
  <c r="R133" i="23"/>
  <c r="R118" i="23"/>
  <c r="R105" i="23"/>
  <c r="H46" i="23"/>
  <c r="I89" i="23"/>
  <c r="H91" i="23"/>
  <c r="M91" i="23"/>
  <c r="O97" i="23"/>
  <c r="O98" i="23" s="1"/>
  <c r="I105" i="23"/>
  <c r="N105" i="23"/>
  <c r="M108" i="23"/>
  <c r="L110" i="23"/>
  <c r="P116" i="23"/>
  <c r="N118" i="23"/>
  <c r="Q89" i="23"/>
  <c r="O137" i="23"/>
  <c r="O104" i="23"/>
  <c r="Q110" i="23"/>
  <c r="Q138" i="23"/>
  <c r="L142" i="23"/>
  <c r="L108" i="23"/>
  <c r="L114" i="23"/>
  <c r="L128" i="23"/>
  <c r="L117" i="23"/>
  <c r="L112" i="23"/>
  <c r="L113" i="23"/>
  <c r="L89" i="23"/>
  <c r="Q133" i="23"/>
  <c r="Q118" i="23"/>
  <c r="Q105" i="23"/>
  <c r="Q131" i="23"/>
  <c r="R141" i="22"/>
  <c r="Q141" i="22"/>
  <c r="P141" i="22"/>
  <c r="O141" i="22"/>
  <c r="N141" i="22"/>
  <c r="M141" i="22"/>
  <c r="L141" i="22"/>
  <c r="K141" i="22"/>
  <c r="J141" i="22"/>
  <c r="I141" i="22"/>
  <c r="H141" i="22"/>
  <c r="R140" i="22"/>
  <c r="Q140" i="22"/>
  <c r="P140" i="22"/>
  <c r="O140" i="22"/>
  <c r="N140" i="22"/>
  <c r="M140" i="22"/>
  <c r="L140" i="22"/>
  <c r="K140" i="22"/>
  <c r="J140" i="22"/>
  <c r="I140" i="22"/>
  <c r="H140" i="22"/>
  <c r="R130" i="22"/>
  <c r="Q130" i="22"/>
  <c r="P130" i="22"/>
  <c r="O130" i="22"/>
  <c r="N130" i="22"/>
  <c r="M130" i="22"/>
  <c r="L130" i="22"/>
  <c r="K130" i="22"/>
  <c r="J130" i="22"/>
  <c r="I130" i="22"/>
  <c r="H130" i="22"/>
  <c r="R129" i="22"/>
  <c r="Q129" i="22"/>
  <c r="P129" i="22"/>
  <c r="O129" i="22"/>
  <c r="N129" i="22"/>
  <c r="M129" i="22"/>
  <c r="L129" i="22"/>
  <c r="K129" i="22"/>
  <c r="J129" i="22"/>
  <c r="I129" i="22"/>
  <c r="H129" i="22"/>
  <c r="P116" i="22"/>
  <c r="H116" i="22"/>
  <c r="E114" i="22"/>
  <c r="M113" i="22"/>
  <c r="R111" i="22"/>
  <c r="Q111" i="22"/>
  <c r="P111" i="22"/>
  <c r="O111" i="22"/>
  <c r="N111" i="22"/>
  <c r="M111" i="22"/>
  <c r="L111" i="22"/>
  <c r="K111" i="22"/>
  <c r="J111" i="22"/>
  <c r="I111" i="22"/>
  <c r="H111" i="22"/>
  <c r="P108" i="22"/>
  <c r="H108" i="22"/>
  <c r="O105" i="22"/>
  <c r="R104" i="22"/>
  <c r="J104" i="22"/>
  <c r="M103" i="22"/>
  <c r="R101" i="22"/>
  <c r="Q101" i="22"/>
  <c r="P101" i="22"/>
  <c r="O101" i="22"/>
  <c r="N101" i="22"/>
  <c r="M101" i="22"/>
  <c r="L101" i="22"/>
  <c r="K101" i="22"/>
  <c r="J101" i="22"/>
  <c r="I101" i="22"/>
  <c r="H101" i="22"/>
  <c r="R97" i="22"/>
  <c r="O97" i="22"/>
  <c r="O98" i="22" s="1"/>
  <c r="N97" i="22"/>
  <c r="N98" i="22" s="1"/>
  <c r="K97" i="22"/>
  <c r="K98" i="22" s="1"/>
  <c r="J97" i="22"/>
  <c r="R96" i="22"/>
  <c r="Q96" i="22"/>
  <c r="P96" i="22"/>
  <c r="O96" i="22"/>
  <c r="N96" i="22"/>
  <c r="M96" i="22"/>
  <c r="L96" i="22"/>
  <c r="K96" i="22"/>
  <c r="J96" i="22"/>
  <c r="I96" i="22"/>
  <c r="H96" i="22"/>
  <c r="R94" i="22"/>
  <c r="Q94" i="22"/>
  <c r="P94" i="22"/>
  <c r="O94" i="22"/>
  <c r="N94" i="22"/>
  <c r="M94" i="22"/>
  <c r="L94" i="22"/>
  <c r="K94" i="22"/>
  <c r="J94" i="22"/>
  <c r="I94" i="22"/>
  <c r="H94" i="22"/>
  <c r="L91" i="22"/>
  <c r="R89" i="22"/>
  <c r="J89" i="22"/>
  <c r="H87" i="22"/>
  <c r="H95" i="22" s="1"/>
  <c r="R85" i="22"/>
  <c r="Q85" i="22"/>
  <c r="P85" i="22"/>
  <c r="O85" i="22"/>
  <c r="N85" i="22"/>
  <c r="M85" i="22"/>
  <c r="L85" i="22"/>
  <c r="K85" i="22"/>
  <c r="J85" i="22"/>
  <c r="I85" i="22"/>
  <c r="H85" i="22"/>
  <c r="R71" i="22"/>
  <c r="Q71" i="22"/>
  <c r="P71" i="22"/>
  <c r="O71" i="22"/>
  <c r="N71" i="22"/>
  <c r="M71" i="22"/>
  <c r="L71" i="22"/>
  <c r="K71" i="22"/>
  <c r="J71" i="22"/>
  <c r="I71" i="22"/>
  <c r="H71" i="22"/>
  <c r="I57" i="22"/>
  <c r="I73" i="22" s="1"/>
  <c r="H57" i="22"/>
  <c r="H73" i="22" s="1"/>
  <c r="P46" i="22"/>
  <c r="M46" i="22"/>
  <c r="M92" i="22" s="1"/>
  <c r="H46" i="22"/>
  <c r="R41" i="22"/>
  <c r="R132" i="22" s="1"/>
  <c r="Q41" i="22"/>
  <c r="Q132" i="22" s="1"/>
  <c r="P41" i="22"/>
  <c r="P132" i="22" s="1"/>
  <c r="O41" i="22"/>
  <c r="O132" i="22" s="1"/>
  <c r="N41" i="22"/>
  <c r="N132" i="22" s="1"/>
  <c r="M41" i="22"/>
  <c r="M132" i="22" s="1"/>
  <c r="L41" i="22"/>
  <c r="L132" i="22" s="1"/>
  <c r="K41" i="22"/>
  <c r="K132" i="22" s="1"/>
  <c r="J41" i="22"/>
  <c r="J132" i="22" s="1"/>
  <c r="I41" i="22"/>
  <c r="I132" i="22" s="1"/>
  <c r="H41" i="22"/>
  <c r="H132" i="22" s="1"/>
  <c r="R38" i="22"/>
  <c r="Q38" i="22"/>
  <c r="P38" i="22"/>
  <c r="O38" i="22"/>
  <c r="N38" i="22"/>
  <c r="N105" i="22" s="1"/>
  <c r="M38" i="22"/>
  <c r="L38" i="22"/>
  <c r="K38" i="22"/>
  <c r="J38" i="22"/>
  <c r="I38" i="22"/>
  <c r="H38" i="22"/>
  <c r="R33" i="22"/>
  <c r="Q33" i="22"/>
  <c r="Q91" i="22" s="1"/>
  <c r="P33" i="22"/>
  <c r="P89" i="22" s="1"/>
  <c r="P90" i="22" s="1"/>
  <c r="O33" i="22"/>
  <c r="N33" i="22"/>
  <c r="M33" i="22"/>
  <c r="L33" i="22"/>
  <c r="L89" i="22" s="1"/>
  <c r="L90" i="22" s="1"/>
  <c r="K33" i="22"/>
  <c r="J33" i="22"/>
  <c r="I33" i="22"/>
  <c r="I91" i="22" s="1"/>
  <c r="H33" i="22"/>
  <c r="H89" i="22" s="1"/>
  <c r="H90" i="22" s="1"/>
  <c r="I32" i="22"/>
  <c r="J32" i="22" s="1"/>
  <c r="R27" i="22"/>
  <c r="Q27" i="22"/>
  <c r="P27" i="22"/>
  <c r="O27" i="22"/>
  <c r="N27" i="22"/>
  <c r="M27" i="22"/>
  <c r="M142" i="22" s="1"/>
  <c r="L27" i="22"/>
  <c r="K27" i="22"/>
  <c r="J27" i="22"/>
  <c r="I27" i="22"/>
  <c r="H27" i="22"/>
  <c r="R19" i="22"/>
  <c r="R139" i="22" s="1"/>
  <c r="Q19" i="22"/>
  <c r="P19" i="22"/>
  <c r="O19" i="22"/>
  <c r="O139" i="22" s="1"/>
  <c r="N19" i="22"/>
  <c r="N139" i="22" s="1"/>
  <c r="M19" i="22"/>
  <c r="L19" i="22"/>
  <c r="K19" i="22"/>
  <c r="K139" i="22" s="1"/>
  <c r="J19" i="22"/>
  <c r="J139" i="22" s="1"/>
  <c r="I19" i="22"/>
  <c r="H19" i="22"/>
  <c r="H18" i="22" s="1"/>
  <c r="O18" i="22"/>
  <c r="K18" i="22"/>
  <c r="R10" i="22"/>
  <c r="R138" i="22" s="1"/>
  <c r="Q10" i="22"/>
  <c r="P10" i="22"/>
  <c r="O10" i="22"/>
  <c r="O138" i="22" s="1"/>
  <c r="N10" i="22"/>
  <c r="M10" i="22"/>
  <c r="L10" i="22"/>
  <c r="K10" i="22"/>
  <c r="J10" i="22"/>
  <c r="J138" i="22" s="1"/>
  <c r="I10" i="22"/>
  <c r="H10" i="22"/>
  <c r="R5" i="22"/>
  <c r="Q5" i="22"/>
  <c r="Q137" i="22" s="1"/>
  <c r="P5" i="22"/>
  <c r="O5" i="22"/>
  <c r="O4" i="22" s="1"/>
  <c r="N5" i="22"/>
  <c r="N104" i="22" s="1"/>
  <c r="M5" i="22"/>
  <c r="M137" i="22" s="1"/>
  <c r="L5" i="22"/>
  <c r="K5" i="22"/>
  <c r="J5" i="22"/>
  <c r="I5" i="22"/>
  <c r="I137" i="22" s="1"/>
  <c r="H5" i="22"/>
  <c r="H4" i="22" s="1"/>
  <c r="R4" i="22"/>
  <c r="N4" i="22"/>
  <c r="N114" i="22" s="1"/>
  <c r="J4" i="22"/>
  <c r="R87" i="31" l="1"/>
  <c r="R95" i="31" s="1"/>
  <c r="R57" i="31"/>
  <c r="R73" i="31" s="1"/>
  <c r="Q106" i="31"/>
  <c r="Q109" i="31"/>
  <c r="Q115" i="31" s="1"/>
  <c r="Q119" i="31" s="1"/>
  <c r="Q127" i="31" s="1"/>
  <c r="P106" i="30"/>
  <c r="P109" i="30"/>
  <c r="P115" i="30" s="1"/>
  <c r="P119" i="30" s="1"/>
  <c r="P127" i="30" s="1"/>
  <c r="Q87" i="30"/>
  <c r="Q95" i="30" s="1"/>
  <c r="R32" i="30"/>
  <c r="Q57" i="30"/>
  <c r="Q73" i="30" s="1"/>
  <c r="P106" i="29"/>
  <c r="P109" i="29"/>
  <c r="P115" i="29" s="1"/>
  <c r="P119" i="29" s="1"/>
  <c r="P127" i="29" s="1"/>
  <c r="R32" i="29"/>
  <c r="Q87" i="29"/>
  <c r="Q95" i="29" s="1"/>
  <c r="Q57" i="29"/>
  <c r="Q73" i="29" s="1"/>
  <c r="R32" i="28"/>
  <c r="Q87" i="28"/>
  <c r="Q95" i="28" s="1"/>
  <c r="Q57" i="28"/>
  <c r="Q73" i="28" s="1"/>
  <c r="P106" i="28"/>
  <c r="P109" i="28"/>
  <c r="P115" i="28" s="1"/>
  <c r="P119" i="28" s="1"/>
  <c r="P127" i="28" s="1"/>
  <c r="O109" i="27"/>
  <c r="O115" i="27" s="1"/>
  <c r="O119" i="27" s="1"/>
  <c r="O127" i="27" s="1"/>
  <c r="O106" i="27"/>
  <c r="P57" i="27"/>
  <c r="P73" i="27" s="1"/>
  <c r="P87" i="27"/>
  <c r="P95" i="27" s="1"/>
  <c r="Q32" i="27"/>
  <c r="M87" i="26"/>
  <c r="M95" i="26" s="1"/>
  <c r="N32" i="26"/>
  <c r="M57" i="26"/>
  <c r="M73" i="26" s="1"/>
  <c r="L109" i="26"/>
  <c r="L115" i="26" s="1"/>
  <c r="L119" i="26" s="1"/>
  <c r="L127" i="26" s="1"/>
  <c r="L106" i="26"/>
  <c r="K106" i="25"/>
  <c r="K109" i="25"/>
  <c r="K115" i="25" s="1"/>
  <c r="K119" i="25" s="1"/>
  <c r="K127" i="25" s="1"/>
  <c r="K142" i="25"/>
  <c r="K108" i="25"/>
  <c r="K114" i="25"/>
  <c r="K18" i="25"/>
  <c r="K31" i="25" s="1"/>
  <c r="L57" i="25"/>
  <c r="L73" i="25" s="1"/>
  <c r="M32" i="25"/>
  <c r="L87" i="25"/>
  <c r="L95" i="25" s="1"/>
  <c r="L94" i="25"/>
  <c r="L27" i="25"/>
  <c r="K135" i="24"/>
  <c r="K52" i="24"/>
  <c r="L135" i="24"/>
  <c r="L52" i="24"/>
  <c r="I135" i="24"/>
  <c r="I52" i="24"/>
  <c r="P135" i="24"/>
  <c r="P52" i="24"/>
  <c r="N135" i="24"/>
  <c r="N52" i="24"/>
  <c r="K57" i="24"/>
  <c r="K73" i="24" s="1"/>
  <c r="K87" i="24"/>
  <c r="K95" i="24" s="1"/>
  <c r="L32" i="24"/>
  <c r="O135" i="24"/>
  <c r="O52" i="24"/>
  <c r="Q52" i="24"/>
  <c r="Q135" i="24"/>
  <c r="H135" i="24"/>
  <c r="H52" i="24"/>
  <c r="M135" i="24"/>
  <c r="M52" i="24"/>
  <c r="J135" i="24"/>
  <c r="J52" i="24"/>
  <c r="J106" i="24"/>
  <c r="J109" i="24"/>
  <c r="J115" i="24" s="1"/>
  <c r="J119" i="24" s="1"/>
  <c r="J127" i="24" s="1"/>
  <c r="P123" i="23"/>
  <c r="P125" i="23"/>
  <c r="P121" i="23"/>
  <c r="P122" i="23"/>
  <c r="P124" i="23"/>
  <c r="P120" i="23"/>
  <c r="I102" i="23"/>
  <c r="I90" i="23"/>
  <c r="Q124" i="23"/>
  <c r="Q120" i="23"/>
  <c r="Q122" i="23"/>
  <c r="Q123" i="23"/>
  <c r="Q121" i="23"/>
  <c r="Q125" i="23"/>
  <c r="K112" i="23"/>
  <c r="O102" i="23"/>
  <c r="O90" i="23"/>
  <c r="R136" i="23"/>
  <c r="R107" i="23"/>
  <c r="R31" i="23"/>
  <c r="N136" i="23"/>
  <c r="N107" i="23"/>
  <c r="N31" i="23"/>
  <c r="O100" i="23"/>
  <c r="O99" i="23"/>
  <c r="H134" i="23"/>
  <c r="H93" i="23"/>
  <c r="H92" i="23"/>
  <c r="H48" i="23"/>
  <c r="H51" i="23" s="1"/>
  <c r="H88" i="23"/>
  <c r="P100" i="23"/>
  <c r="P99" i="23"/>
  <c r="H100" i="23"/>
  <c r="H99" i="23"/>
  <c r="R110" i="23"/>
  <c r="H123" i="23"/>
  <c r="H125" i="23"/>
  <c r="H121" i="23"/>
  <c r="H122" i="23"/>
  <c r="H124" i="23"/>
  <c r="H120" i="23"/>
  <c r="Q136" i="23"/>
  <c r="Q31" i="23"/>
  <c r="Q112" i="23"/>
  <c r="Q107" i="23"/>
  <c r="O134" i="23"/>
  <c r="O92" i="23"/>
  <c r="O88" i="23"/>
  <c r="O93" i="23"/>
  <c r="O48" i="23"/>
  <c r="O51" i="23" s="1"/>
  <c r="R134" i="23"/>
  <c r="R48" i="23"/>
  <c r="R51" i="23" s="1"/>
  <c r="R93" i="23"/>
  <c r="R92" i="23"/>
  <c r="R88" i="23"/>
  <c r="R112" i="23"/>
  <c r="N134" i="23"/>
  <c r="N48" i="23"/>
  <c r="N51" i="23" s="1"/>
  <c r="N88" i="23"/>
  <c r="N93" i="23"/>
  <c r="N92" i="23"/>
  <c r="K110" i="23"/>
  <c r="J99" i="23"/>
  <c r="J100" i="23"/>
  <c r="J110" i="23"/>
  <c r="Q99" i="23"/>
  <c r="Q100" i="23"/>
  <c r="I100" i="23"/>
  <c r="I99" i="23"/>
  <c r="L102" i="23"/>
  <c r="L90" i="23"/>
  <c r="Q102" i="23"/>
  <c r="Q90" i="23"/>
  <c r="Q134" i="23"/>
  <c r="Q48" i="23"/>
  <c r="Q51" i="23" s="1"/>
  <c r="Q93" i="23"/>
  <c r="Q92" i="23"/>
  <c r="Q88" i="23"/>
  <c r="M93" i="23"/>
  <c r="M92" i="23"/>
  <c r="M48" i="23"/>
  <c r="M134" i="23"/>
  <c r="M88" i="23"/>
  <c r="M124" i="23"/>
  <c r="M120" i="23"/>
  <c r="M122" i="23"/>
  <c r="M123" i="23"/>
  <c r="M121" i="23"/>
  <c r="M125" i="23"/>
  <c r="I124" i="23"/>
  <c r="I120" i="23"/>
  <c r="I122" i="23"/>
  <c r="I123" i="23"/>
  <c r="I125" i="23"/>
  <c r="I121" i="23"/>
  <c r="O107" i="23"/>
  <c r="O136" i="23"/>
  <c r="O31" i="23"/>
  <c r="O122" i="23"/>
  <c r="O124" i="23"/>
  <c r="O120" i="23"/>
  <c r="O125" i="23"/>
  <c r="O121" i="23"/>
  <c r="O123" i="23"/>
  <c r="K102" i="23"/>
  <c r="K90" i="23"/>
  <c r="K122" i="23"/>
  <c r="K124" i="23"/>
  <c r="K120" i="23"/>
  <c r="K125" i="23"/>
  <c r="K121" i="23"/>
  <c r="K123" i="23"/>
  <c r="I136" i="23"/>
  <c r="I107" i="23"/>
  <c r="I31" i="23"/>
  <c r="I112" i="23"/>
  <c r="R102" i="23"/>
  <c r="R90" i="23"/>
  <c r="R125" i="23"/>
  <c r="R121" i="23"/>
  <c r="R123" i="23"/>
  <c r="R124" i="23"/>
  <c r="R120" i="23"/>
  <c r="R122" i="23"/>
  <c r="N90" i="23"/>
  <c r="N102" i="23"/>
  <c r="N125" i="23"/>
  <c r="N121" i="23"/>
  <c r="N123" i="23"/>
  <c r="N124" i="23"/>
  <c r="N120" i="23"/>
  <c r="N122" i="23"/>
  <c r="J135" i="23"/>
  <c r="J52" i="23"/>
  <c r="O114" i="23"/>
  <c r="N99" i="23"/>
  <c r="N100" i="23"/>
  <c r="N114" i="23"/>
  <c r="I134" i="23"/>
  <c r="I88" i="23"/>
  <c r="I92" i="23"/>
  <c r="I48" i="23"/>
  <c r="I51" i="23" s="1"/>
  <c r="I93" i="23"/>
  <c r="L100" i="23"/>
  <c r="L99" i="23"/>
  <c r="K107" i="23"/>
  <c r="K136" i="23"/>
  <c r="K31" i="23"/>
  <c r="M102" i="23"/>
  <c r="M90" i="23"/>
  <c r="P90" i="23"/>
  <c r="P102" i="23"/>
  <c r="P134" i="23"/>
  <c r="P93" i="23"/>
  <c r="P92" i="23"/>
  <c r="P48" i="23"/>
  <c r="P51" i="23" s="1"/>
  <c r="P88" i="23"/>
  <c r="K134" i="23"/>
  <c r="K92" i="23"/>
  <c r="K88" i="23"/>
  <c r="K48" i="23"/>
  <c r="K51" i="23" s="1"/>
  <c r="K93" i="23"/>
  <c r="J87" i="23"/>
  <c r="J95" i="23" s="1"/>
  <c r="J57" i="23"/>
  <c r="J73" i="23" s="1"/>
  <c r="K32" i="23"/>
  <c r="N112" i="23"/>
  <c r="I109" i="23"/>
  <c r="I115" i="23" s="1"/>
  <c r="I119" i="23" s="1"/>
  <c r="I127" i="23" s="1"/>
  <c r="I106" i="23"/>
  <c r="J136" i="23"/>
  <c r="J107" i="23"/>
  <c r="J31" i="23"/>
  <c r="K100" i="23"/>
  <c r="O110" i="23"/>
  <c r="R114" i="23"/>
  <c r="M100" i="23"/>
  <c r="M99" i="23"/>
  <c r="L134" i="23"/>
  <c r="L93" i="23"/>
  <c r="L88" i="23"/>
  <c r="L92" i="23"/>
  <c r="L48" i="23"/>
  <c r="L51" i="23" s="1"/>
  <c r="H90" i="23"/>
  <c r="H102" i="23"/>
  <c r="J125" i="23"/>
  <c r="J121" i="23"/>
  <c r="J123" i="23"/>
  <c r="J124" i="23"/>
  <c r="J120" i="23"/>
  <c r="J122" i="23"/>
  <c r="R99" i="23"/>
  <c r="R100" i="23"/>
  <c r="K99" i="22"/>
  <c r="R31" i="22"/>
  <c r="O136" i="22"/>
  <c r="O107" i="22"/>
  <c r="O31" i="22"/>
  <c r="H109" i="22"/>
  <c r="H115" i="22" s="1"/>
  <c r="H119" i="22" s="1"/>
  <c r="H127" i="22" s="1"/>
  <c r="H106" i="22"/>
  <c r="H136" i="22"/>
  <c r="H31" i="22"/>
  <c r="H107" i="22"/>
  <c r="H112" i="22"/>
  <c r="O99" i="22"/>
  <c r="J136" i="22"/>
  <c r="J107" i="22"/>
  <c r="K137" i="22"/>
  <c r="K103" i="22"/>
  <c r="K104" i="22"/>
  <c r="H110" i="22"/>
  <c r="H138" i="22"/>
  <c r="L139" i="22"/>
  <c r="L97" i="22"/>
  <c r="L98" i="22" s="1"/>
  <c r="J102" i="22"/>
  <c r="J90" i="22"/>
  <c r="H102" i="22"/>
  <c r="P102" i="22"/>
  <c r="R110" i="22"/>
  <c r="K4" i="22"/>
  <c r="L137" i="22"/>
  <c r="L104" i="22"/>
  <c r="I139" i="22"/>
  <c r="I97" i="22"/>
  <c r="I98" i="22" s="1"/>
  <c r="I18" i="22"/>
  <c r="L4" i="22"/>
  <c r="N138" i="22"/>
  <c r="N110" i="22"/>
  <c r="J31" i="22"/>
  <c r="J117" i="22"/>
  <c r="J112" i="22"/>
  <c r="J128" i="22"/>
  <c r="J116" i="22"/>
  <c r="J91" i="22"/>
  <c r="J46" i="22"/>
  <c r="N117" i="22"/>
  <c r="N112" i="22"/>
  <c r="N128" i="22"/>
  <c r="N116" i="22"/>
  <c r="N113" i="22"/>
  <c r="N91" i="22"/>
  <c r="N46" i="22"/>
  <c r="R117" i="22"/>
  <c r="R112" i="22"/>
  <c r="R128" i="22"/>
  <c r="R116" i="22"/>
  <c r="R91" i="22"/>
  <c r="R46" i="22"/>
  <c r="K131" i="22"/>
  <c r="K118" i="22"/>
  <c r="K133" i="22"/>
  <c r="O131" i="22"/>
  <c r="O118" i="22"/>
  <c r="O133" i="22"/>
  <c r="I46" i="22"/>
  <c r="Q46" i="22"/>
  <c r="N89" i="22"/>
  <c r="H91" i="22"/>
  <c r="P91" i="22"/>
  <c r="L102" i="22"/>
  <c r="I103" i="22"/>
  <c r="Q103" i="22"/>
  <c r="K105" i="22"/>
  <c r="J110" i="22"/>
  <c r="R136" i="22"/>
  <c r="R107" i="22"/>
  <c r="P139" i="22"/>
  <c r="P97" i="22"/>
  <c r="P98" i="22" s="1"/>
  <c r="Q142" i="22"/>
  <c r="Q114" i="22"/>
  <c r="Q108" i="22"/>
  <c r="M134" i="22"/>
  <c r="M93" i="22"/>
  <c r="M88" i="22"/>
  <c r="P137" i="22"/>
  <c r="P104" i="22"/>
  <c r="P4" i="22"/>
  <c r="I4" i="22"/>
  <c r="M4" i="22"/>
  <c r="Q4" i="22"/>
  <c r="J137" i="22"/>
  <c r="J103" i="22"/>
  <c r="N137" i="22"/>
  <c r="N103" i="22"/>
  <c r="R137" i="22"/>
  <c r="R103" i="22"/>
  <c r="K138" i="22"/>
  <c r="K110" i="22"/>
  <c r="P18" i="22"/>
  <c r="K32" i="22"/>
  <c r="J87" i="22"/>
  <c r="J95" i="22" s="1"/>
  <c r="J57" i="22"/>
  <c r="J73" i="22" s="1"/>
  <c r="L46" i="22"/>
  <c r="O89" i="22"/>
  <c r="J98" i="22"/>
  <c r="R98" i="22"/>
  <c r="L103" i="22"/>
  <c r="I104" i="22"/>
  <c r="Q104" i="22"/>
  <c r="O110" i="22"/>
  <c r="J113" i="22"/>
  <c r="M114" i="22"/>
  <c r="N136" i="22"/>
  <c r="N107" i="22"/>
  <c r="O137" i="22"/>
  <c r="O103" i="22"/>
  <c r="O104" i="22"/>
  <c r="H139" i="22"/>
  <c r="H97" i="22"/>
  <c r="H98" i="22" s="1"/>
  <c r="I142" i="22"/>
  <c r="I108" i="22"/>
  <c r="N31" i="22"/>
  <c r="R102" i="22"/>
  <c r="R90" i="22"/>
  <c r="H123" i="22"/>
  <c r="H124" i="22"/>
  <c r="H120" i="22"/>
  <c r="H125" i="22"/>
  <c r="H121" i="22"/>
  <c r="H122" i="22"/>
  <c r="H137" i="22"/>
  <c r="H104" i="22"/>
  <c r="I138" i="22"/>
  <c r="L18" i="22"/>
  <c r="M139" i="22"/>
  <c r="M97" i="22"/>
  <c r="M98" i="22" s="1"/>
  <c r="M18" i="22"/>
  <c r="Q139" i="22"/>
  <c r="Q97" i="22"/>
  <c r="Q98" i="22" s="1"/>
  <c r="Q18" i="22"/>
  <c r="J142" i="22"/>
  <c r="J108" i="22"/>
  <c r="J114" i="22"/>
  <c r="J18" i="22"/>
  <c r="N142" i="22"/>
  <c r="N108" i="22"/>
  <c r="N18" i="22"/>
  <c r="R142" i="22"/>
  <c r="R108" i="22"/>
  <c r="R114" i="22"/>
  <c r="R18" i="22"/>
  <c r="I116" i="22"/>
  <c r="I128" i="22"/>
  <c r="I117" i="22"/>
  <c r="I113" i="22"/>
  <c r="I89" i="22"/>
  <c r="M116" i="22"/>
  <c r="M117" i="22"/>
  <c r="M128" i="22"/>
  <c r="M89" i="22"/>
  <c r="Q116" i="22"/>
  <c r="Q117" i="22"/>
  <c r="Q128" i="22"/>
  <c r="Q113" i="22"/>
  <c r="Q89" i="22"/>
  <c r="Q112" i="22"/>
  <c r="J131" i="22"/>
  <c r="J118" i="22"/>
  <c r="J133" i="22"/>
  <c r="N131" i="22"/>
  <c r="N118" i="22"/>
  <c r="N133" i="22"/>
  <c r="R131" i="22"/>
  <c r="R118" i="22"/>
  <c r="R133" i="22"/>
  <c r="H134" i="22"/>
  <c r="H92" i="22"/>
  <c r="H88" i="22"/>
  <c r="H48" i="22"/>
  <c r="H51" i="22" s="1"/>
  <c r="H93" i="22"/>
  <c r="P134" i="22"/>
  <c r="P92" i="22"/>
  <c r="P88" i="22"/>
  <c r="P48" i="22"/>
  <c r="P51" i="22" s="1"/>
  <c r="P93" i="22"/>
  <c r="M48" i="22"/>
  <c r="M51" i="22" s="1"/>
  <c r="I87" i="22"/>
  <c r="I95" i="22" s="1"/>
  <c r="K89" i="22"/>
  <c r="K100" i="22" s="1"/>
  <c r="M91" i="22"/>
  <c r="N99" i="22"/>
  <c r="H103" i="22"/>
  <c r="P103" i="22"/>
  <c r="M104" i="22"/>
  <c r="J105" i="22"/>
  <c r="R105" i="22"/>
  <c r="M108" i="22"/>
  <c r="M112" i="22"/>
  <c r="R113" i="22"/>
  <c r="P123" i="22"/>
  <c r="P124" i="22"/>
  <c r="P120" i="22"/>
  <c r="P125" i="22"/>
  <c r="P121" i="22"/>
  <c r="P122" i="22"/>
  <c r="L110" i="22"/>
  <c r="L138" i="22"/>
  <c r="P138" i="22"/>
  <c r="K114" i="22"/>
  <c r="K142" i="22"/>
  <c r="K108" i="22"/>
  <c r="O114" i="22"/>
  <c r="O142" i="22"/>
  <c r="O108" i="22"/>
  <c r="K113" i="22"/>
  <c r="K128" i="22"/>
  <c r="K117" i="22"/>
  <c r="K112" i="22"/>
  <c r="O113" i="22"/>
  <c r="O128" i="22"/>
  <c r="O116" i="22"/>
  <c r="O117" i="22"/>
  <c r="O112" i="22"/>
  <c r="H133" i="22"/>
  <c r="H131" i="22"/>
  <c r="H118" i="22"/>
  <c r="L133" i="22"/>
  <c r="L131" i="22"/>
  <c r="L118" i="22"/>
  <c r="P133" i="22"/>
  <c r="P131" i="22"/>
  <c r="P118" i="22"/>
  <c r="H105" i="22"/>
  <c r="L105" i="22"/>
  <c r="P105" i="22"/>
  <c r="K116" i="22"/>
  <c r="M138" i="22"/>
  <c r="M110" i="22"/>
  <c r="Q138" i="22"/>
  <c r="Q110" i="22"/>
  <c r="H142" i="22"/>
  <c r="H114" i="22"/>
  <c r="L142" i="22"/>
  <c r="P142" i="22"/>
  <c r="H128" i="22"/>
  <c r="H117" i="22"/>
  <c r="H113" i="22"/>
  <c r="L128" i="22"/>
  <c r="L117" i="22"/>
  <c r="L113" i="22"/>
  <c r="P128" i="22"/>
  <c r="P117" i="22"/>
  <c r="P113" i="22"/>
  <c r="I133" i="22"/>
  <c r="I131" i="22"/>
  <c r="I118" i="22"/>
  <c r="M133" i="22"/>
  <c r="M131" i="22"/>
  <c r="M118" i="22"/>
  <c r="Q133" i="22"/>
  <c r="Q131" i="22"/>
  <c r="Q118" i="22"/>
  <c r="K46" i="22"/>
  <c r="O46" i="22"/>
  <c r="K91" i="22"/>
  <c r="O91" i="22"/>
  <c r="I105" i="22"/>
  <c r="M105" i="22"/>
  <c r="Q105" i="22"/>
  <c r="L108" i="22"/>
  <c r="L112" i="22"/>
  <c r="L116" i="22"/>
  <c r="R141" i="21"/>
  <c r="Q141" i="21"/>
  <c r="P141" i="21"/>
  <c r="O141" i="21"/>
  <c r="N141" i="21"/>
  <c r="M141" i="21"/>
  <c r="L141" i="21"/>
  <c r="K141" i="21"/>
  <c r="J141" i="21"/>
  <c r="I141" i="21"/>
  <c r="H141" i="21"/>
  <c r="R140" i="21"/>
  <c r="Q140" i="21"/>
  <c r="P140" i="21"/>
  <c r="O140" i="21"/>
  <c r="N140" i="21"/>
  <c r="M140" i="21"/>
  <c r="L140" i="21"/>
  <c r="K140" i="21"/>
  <c r="J140" i="21"/>
  <c r="I140" i="21"/>
  <c r="H140" i="21"/>
  <c r="R130" i="21"/>
  <c r="Q130" i="21"/>
  <c r="P130" i="21"/>
  <c r="O130" i="21"/>
  <c r="N130" i="21"/>
  <c r="M130" i="21"/>
  <c r="L130" i="21"/>
  <c r="K130" i="21"/>
  <c r="J130" i="21"/>
  <c r="I130" i="21"/>
  <c r="H130" i="21"/>
  <c r="R129" i="21"/>
  <c r="Q129" i="21"/>
  <c r="P129" i="21"/>
  <c r="O129" i="21"/>
  <c r="N129" i="21"/>
  <c r="M129" i="21"/>
  <c r="L129" i="21"/>
  <c r="K129" i="21"/>
  <c r="J129" i="21"/>
  <c r="I129" i="21"/>
  <c r="H129" i="21"/>
  <c r="E114" i="21"/>
  <c r="M111" i="21"/>
  <c r="L111" i="21"/>
  <c r="K111" i="21"/>
  <c r="J111" i="21"/>
  <c r="I111" i="21"/>
  <c r="H111" i="21"/>
  <c r="R101" i="21"/>
  <c r="Q101" i="21"/>
  <c r="P101" i="21"/>
  <c r="O101" i="21"/>
  <c r="N101" i="21"/>
  <c r="M101" i="21"/>
  <c r="L101" i="21"/>
  <c r="K101" i="21"/>
  <c r="J101" i="21"/>
  <c r="I101" i="21"/>
  <c r="H101" i="21"/>
  <c r="R96" i="21"/>
  <c r="Q96" i="21"/>
  <c r="P96" i="21"/>
  <c r="O96" i="21"/>
  <c r="N96" i="21"/>
  <c r="M96" i="21"/>
  <c r="L96" i="21"/>
  <c r="K96" i="21"/>
  <c r="J96" i="21"/>
  <c r="I96" i="21"/>
  <c r="H96" i="21"/>
  <c r="M94" i="21"/>
  <c r="L94" i="21"/>
  <c r="K94" i="21"/>
  <c r="J94" i="21"/>
  <c r="I94" i="21"/>
  <c r="H94" i="21"/>
  <c r="J91" i="21"/>
  <c r="H87" i="21"/>
  <c r="H95" i="21" s="1"/>
  <c r="R85" i="21"/>
  <c r="Q85" i="21"/>
  <c r="P85" i="21"/>
  <c r="O85" i="21"/>
  <c r="N85" i="21"/>
  <c r="M85" i="21"/>
  <c r="L85" i="21"/>
  <c r="K85" i="21"/>
  <c r="J85" i="21"/>
  <c r="I85" i="21"/>
  <c r="H85" i="21"/>
  <c r="H73" i="21"/>
  <c r="R71" i="21"/>
  <c r="Q71" i="21"/>
  <c r="P71" i="21"/>
  <c r="O71" i="21"/>
  <c r="N71" i="21"/>
  <c r="M71" i="21"/>
  <c r="L71" i="21"/>
  <c r="K71" i="21"/>
  <c r="J71" i="21"/>
  <c r="I71" i="21"/>
  <c r="H71" i="21"/>
  <c r="I57" i="21"/>
  <c r="I73" i="21" s="1"/>
  <c r="H57" i="21"/>
  <c r="N46" i="21"/>
  <c r="R41" i="21"/>
  <c r="R132" i="21" s="1"/>
  <c r="Q41" i="21"/>
  <c r="Q132" i="21" s="1"/>
  <c r="P41" i="21"/>
  <c r="P132" i="21" s="1"/>
  <c r="O41" i="21"/>
  <c r="O132" i="21" s="1"/>
  <c r="N41" i="21"/>
  <c r="N132" i="21" s="1"/>
  <c r="M41" i="21"/>
  <c r="M132" i="21" s="1"/>
  <c r="L41" i="21"/>
  <c r="L132" i="21" s="1"/>
  <c r="K41" i="21"/>
  <c r="K132" i="21" s="1"/>
  <c r="J41" i="21"/>
  <c r="J132" i="21" s="1"/>
  <c r="I41" i="21"/>
  <c r="I132" i="21" s="1"/>
  <c r="H41" i="21"/>
  <c r="H132" i="21" s="1"/>
  <c r="R38" i="21"/>
  <c r="Q38" i="21"/>
  <c r="P38" i="21"/>
  <c r="O38" i="21"/>
  <c r="N38" i="21"/>
  <c r="M38" i="21"/>
  <c r="L38" i="21"/>
  <c r="K38" i="21"/>
  <c r="J38" i="21"/>
  <c r="I38" i="21"/>
  <c r="H38" i="21"/>
  <c r="R33" i="21"/>
  <c r="Q33" i="21"/>
  <c r="P33" i="21"/>
  <c r="O33" i="21"/>
  <c r="N33" i="21"/>
  <c r="N91" i="21" s="1"/>
  <c r="M33" i="21"/>
  <c r="L33" i="21"/>
  <c r="K33" i="21"/>
  <c r="J33" i="21"/>
  <c r="I33" i="21"/>
  <c r="H33" i="21"/>
  <c r="J32" i="21"/>
  <c r="K32" i="21" s="1"/>
  <c r="I32" i="21"/>
  <c r="I87" i="21" s="1"/>
  <c r="I95" i="21" s="1"/>
  <c r="O29" i="21"/>
  <c r="O94" i="21" s="1"/>
  <c r="N29" i="21"/>
  <c r="N94" i="21" s="1"/>
  <c r="M27" i="21"/>
  <c r="L27" i="21"/>
  <c r="K27" i="21"/>
  <c r="J27" i="21"/>
  <c r="I27" i="21"/>
  <c r="H27" i="21"/>
  <c r="R19" i="21"/>
  <c r="Q19" i="21"/>
  <c r="P19" i="21"/>
  <c r="O19" i="21"/>
  <c r="N19" i="21"/>
  <c r="M19" i="21"/>
  <c r="L19" i="21"/>
  <c r="K19" i="21"/>
  <c r="K18" i="21" s="1"/>
  <c r="J19" i="21"/>
  <c r="I19" i="21"/>
  <c r="H19" i="21"/>
  <c r="H18" i="21" s="1"/>
  <c r="J18" i="21"/>
  <c r="N15" i="21"/>
  <c r="N111" i="21" s="1"/>
  <c r="N10" i="21"/>
  <c r="M10" i="21"/>
  <c r="L10" i="21"/>
  <c r="K10" i="21"/>
  <c r="K4" i="21" s="1"/>
  <c r="J10" i="21"/>
  <c r="I10" i="21"/>
  <c r="H10" i="21"/>
  <c r="R5" i="21"/>
  <c r="Q5" i="21"/>
  <c r="P5" i="21"/>
  <c r="O5" i="21"/>
  <c r="N5" i="21"/>
  <c r="M5" i="21"/>
  <c r="M4" i="21" s="1"/>
  <c r="L5" i="21"/>
  <c r="K5" i="21"/>
  <c r="J5" i="21"/>
  <c r="J4" i="21" s="1"/>
  <c r="I5" i="21"/>
  <c r="H5" i="21"/>
  <c r="L4" i="21"/>
  <c r="H4" i="21"/>
  <c r="R109" i="31" l="1"/>
  <c r="R115" i="31" s="1"/>
  <c r="R119" i="31" s="1"/>
  <c r="R127" i="31" s="1"/>
  <c r="R106" i="31"/>
  <c r="R87" i="30"/>
  <c r="R95" i="30" s="1"/>
  <c r="R57" i="30"/>
  <c r="R73" i="30" s="1"/>
  <c r="Q106" i="30"/>
  <c r="Q109" i="30"/>
  <c r="Q115" i="30" s="1"/>
  <c r="Q119" i="30" s="1"/>
  <c r="Q127" i="30" s="1"/>
  <c r="Q109" i="29"/>
  <c r="Q115" i="29" s="1"/>
  <c r="Q119" i="29" s="1"/>
  <c r="Q127" i="29" s="1"/>
  <c r="Q106" i="29"/>
  <c r="R87" i="29"/>
  <c r="R95" i="29" s="1"/>
  <c r="R57" i="29"/>
  <c r="R73" i="29" s="1"/>
  <c r="Q106" i="28"/>
  <c r="Q109" i="28"/>
  <c r="Q115" i="28" s="1"/>
  <c r="Q119" i="28" s="1"/>
  <c r="Q127" i="28" s="1"/>
  <c r="R87" i="28"/>
  <c r="R95" i="28" s="1"/>
  <c r="R57" i="28"/>
  <c r="R73" i="28" s="1"/>
  <c r="P109" i="27"/>
  <c r="P115" i="27" s="1"/>
  <c r="P119" i="27" s="1"/>
  <c r="P127" i="27" s="1"/>
  <c r="P106" i="27"/>
  <c r="Q87" i="27"/>
  <c r="Q95" i="27" s="1"/>
  <c r="Q57" i="27"/>
  <c r="Q73" i="27" s="1"/>
  <c r="R32" i="27"/>
  <c r="N87" i="26"/>
  <c r="N95" i="26" s="1"/>
  <c r="N57" i="26"/>
  <c r="N73" i="26" s="1"/>
  <c r="O32" i="26"/>
  <c r="M106" i="26"/>
  <c r="M109" i="26"/>
  <c r="M115" i="26" s="1"/>
  <c r="M119" i="26" s="1"/>
  <c r="M127" i="26" s="1"/>
  <c r="M87" i="25"/>
  <c r="M95" i="25" s="1"/>
  <c r="M57" i="25"/>
  <c r="M73" i="25" s="1"/>
  <c r="N32" i="25"/>
  <c r="L114" i="25"/>
  <c r="L108" i="25"/>
  <c r="L142" i="25"/>
  <c r="L18" i="25"/>
  <c r="L31" i="25" s="1"/>
  <c r="L109" i="25"/>
  <c r="L115" i="25" s="1"/>
  <c r="L119" i="25" s="1"/>
  <c r="L127" i="25" s="1"/>
  <c r="L106" i="25"/>
  <c r="K106" i="24"/>
  <c r="K109" i="24"/>
  <c r="K115" i="24" s="1"/>
  <c r="K119" i="24" s="1"/>
  <c r="K127" i="24" s="1"/>
  <c r="L57" i="24"/>
  <c r="L73" i="24" s="1"/>
  <c r="M32" i="24"/>
  <c r="L87" i="24"/>
  <c r="L95" i="24" s="1"/>
  <c r="L135" i="23"/>
  <c r="L52" i="23"/>
  <c r="L32" i="23"/>
  <c r="K57" i="23"/>
  <c r="K73" i="23" s="1"/>
  <c r="K87" i="23"/>
  <c r="K95" i="23" s="1"/>
  <c r="P135" i="23"/>
  <c r="P52" i="23"/>
  <c r="R135" i="23"/>
  <c r="R52" i="23"/>
  <c r="J106" i="23"/>
  <c r="J109" i="23"/>
  <c r="J115" i="23" s="1"/>
  <c r="J119" i="23" s="1"/>
  <c r="J127" i="23" s="1"/>
  <c r="Q135" i="23"/>
  <c r="Q52" i="23"/>
  <c r="I135" i="23"/>
  <c r="I52" i="23"/>
  <c r="N135" i="23"/>
  <c r="N52" i="23"/>
  <c r="O135" i="23"/>
  <c r="O52" i="23"/>
  <c r="K135" i="23"/>
  <c r="K52" i="23"/>
  <c r="H135" i="23"/>
  <c r="H52" i="23"/>
  <c r="O122" i="22"/>
  <c r="O123" i="22"/>
  <c r="O124" i="22"/>
  <c r="O120" i="22"/>
  <c r="O125" i="22"/>
  <c r="O121" i="22"/>
  <c r="M124" i="22"/>
  <c r="M120" i="22"/>
  <c r="M125" i="22"/>
  <c r="M121" i="22"/>
  <c r="M122" i="22"/>
  <c r="M123" i="22"/>
  <c r="O102" i="22"/>
  <c r="O90" i="22"/>
  <c r="K122" i="22"/>
  <c r="K123" i="22"/>
  <c r="K124" i="22"/>
  <c r="K120" i="22"/>
  <c r="K125" i="22"/>
  <c r="K121" i="22"/>
  <c r="P136" i="22"/>
  <c r="P31" i="22"/>
  <c r="P107" i="22"/>
  <c r="P112" i="22"/>
  <c r="N102" i="22"/>
  <c r="N90" i="22"/>
  <c r="J125" i="22"/>
  <c r="J121" i="22"/>
  <c r="J122" i="22"/>
  <c r="J123" i="22"/>
  <c r="J124" i="22"/>
  <c r="J120" i="22"/>
  <c r="O100" i="22"/>
  <c r="Q102" i="22"/>
  <c r="Q90" i="22"/>
  <c r="I107" i="22"/>
  <c r="I136" i="22"/>
  <c r="I31" i="22"/>
  <c r="N134" i="22"/>
  <c r="N88" i="22"/>
  <c r="N92" i="22"/>
  <c r="N93" i="22"/>
  <c r="N48" i="22"/>
  <c r="N51" i="22" s="1"/>
  <c r="L136" i="22"/>
  <c r="L107" i="22"/>
  <c r="L31" i="22"/>
  <c r="L114" i="22"/>
  <c r="P135" i="22"/>
  <c r="P52" i="22"/>
  <c r="M102" i="22"/>
  <c r="M90" i="22"/>
  <c r="L134" i="22"/>
  <c r="L92" i="22"/>
  <c r="L88" i="22"/>
  <c r="L48" i="22"/>
  <c r="L51" i="22" s="1"/>
  <c r="L93" i="22"/>
  <c r="P110" i="22"/>
  <c r="I106" i="22"/>
  <c r="I109" i="22"/>
  <c r="I115" i="22" s="1"/>
  <c r="I119" i="22" s="1"/>
  <c r="I127" i="22" s="1"/>
  <c r="H135" i="22"/>
  <c r="H52" i="22"/>
  <c r="I102" i="22"/>
  <c r="I90" i="22"/>
  <c r="I124" i="22"/>
  <c r="I120" i="22"/>
  <c r="I125" i="22"/>
  <c r="I121" i="22"/>
  <c r="I122" i="22"/>
  <c r="I123" i="22"/>
  <c r="M100" i="22"/>
  <c r="M99" i="22"/>
  <c r="R99" i="22"/>
  <c r="R100" i="22"/>
  <c r="Q107" i="22"/>
  <c r="Q136" i="22"/>
  <c r="Q31" i="22"/>
  <c r="P100" i="22"/>
  <c r="P99" i="22"/>
  <c r="Q134" i="22"/>
  <c r="Q93" i="22"/>
  <c r="Q48" i="22"/>
  <c r="Q51" i="22" s="1"/>
  <c r="Q88" i="22"/>
  <c r="Q92" i="22"/>
  <c r="R134" i="22"/>
  <c r="R92" i="22"/>
  <c r="R48" i="22"/>
  <c r="R51" i="22" s="1"/>
  <c r="R88" i="22"/>
  <c r="R93" i="22"/>
  <c r="I100" i="22"/>
  <c r="I99" i="22"/>
  <c r="K136" i="22"/>
  <c r="K31" i="22"/>
  <c r="K107" i="22"/>
  <c r="K134" i="22"/>
  <c r="K92" i="22"/>
  <c r="K88" i="22"/>
  <c r="K48" i="22"/>
  <c r="K51" i="22" s="1"/>
  <c r="K93" i="22"/>
  <c r="Q124" i="22"/>
  <c r="Q120" i="22"/>
  <c r="Q125" i="22"/>
  <c r="Q121" i="22"/>
  <c r="Q122" i="22"/>
  <c r="Q123" i="22"/>
  <c r="K87" i="22"/>
  <c r="K95" i="22" s="1"/>
  <c r="K57" i="22"/>
  <c r="K73" i="22" s="1"/>
  <c r="L32" i="22"/>
  <c r="R125" i="22"/>
  <c r="R121" i="22"/>
  <c r="R122" i="22"/>
  <c r="R123" i="22"/>
  <c r="R124" i="22"/>
  <c r="R120" i="22"/>
  <c r="L100" i="22"/>
  <c r="L99" i="22"/>
  <c r="K102" i="22"/>
  <c r="K90" i="22"/>
  <c r="I112" i="22"/>
  <c r="I110" i="22"/>
  <c r="H100" i="22"/>
  <c r="H99" i="22"/>
  <c r="L123" i="22"/>
  <c r="L124" i="22"/>
  <c r="L120" i="22"/>
  <c r="L125" i="22"/>
  <c r="L121" i="22"/>
  <c r="L122" i="22"/>
  <c r="O134" i="22"/>
  <c r="O92" i="22"/>
  <c r="O88" i="22"/>
  <c r="O48" i="22"/>
  <c r="O51" i="22" s="1"/>
  <c r="O93" i="22"/>
  <c r="P114" i="22"/>
  <c r="M135" i="22"/>
  <c r="M52" i="22"/>
  <c r="Q100" i="22"/>
  <c r="Q99" i="22"/>
  <c r="I114" i="22"/>
  <c r="J99" i="22"/>
  <c r="J100" i="22"/>
  <c r="J106" i="22"/>
  <c r="J109" i="22"/>
  <c r="J115" i="22" s="1"/>
  <c r="J119" i="22" s="1"/>
  <c r="J127" i="22" s="1"/>
  <c r="M107" i="22"/>
  <c r="M136" i="22"/>
  <c r="M31" i="22"/>
  <c r="I134" i="22"/>
  <c r="I93" i="22"/>
  <c r="I92" i="22"/>
  <c r="I48" i="22"/>
  <c r="I51" i="22" s="1"/>
  <c r="I88" i="22"/>
  <c r="N125" i="22"/>
  <c r="N121" i="22"/>
  <c r="N122" i="22"/>
  <c r="N123" i="22"/>
  <c r="N124" i="22"/>
  <c r="N120" i="22"/>
  <c r="J134" i="22"/>
  <c r="J92" i="22"/>
  <c r="J88" i="22"/>
  <c r="J93" i="22"/>
  <c r="J48" i="22"/>
  <c r="J51" i="22" s="1"/>
  <c r="N100" i="22"/>
  <c r="J136" i="21"/>
  <c r="J107" i="21"/>
  <c r="J31" i="21"/>
  <c r="K136" i="21"/>
  <c r="K107" i="21"/>
  <c r="K31" i="21"/>
  <c r="K87" i="21"/>
  <c r="K95" i="21" s="1"/>
  <c r="K57" i="21"/>
  <c r="K73" i="21" s="1"/>
  <c r="L32" i="21"/>
  <c r="M136" i="21"/>
  <c r="M107" i="21"/>
  <c r="H107" i="21"/>
  <c r="H136" i="21"/>
  <c r="I137" i="21"/>
  <c r="I103" i="21"/>
  <c r="I104" i="21"/>
  <c r="N138" i="21"/>
  <c r="H142" i="21"/>
  <c r="H108" i="21"/>
  <c r="H114" i="21"/>
  <c r="L142" i="21"/>
  <c r="L108" i="21"/>
  <c r="L114" i="21"/>
  <c r="H31" i="21"/>
  <c r="K128" i="21"/>
  <c r="K116" i="21"/>
  <c r="K117" i="21"/>
  <c r="K112" i="21"/>
  <c r="K89" i="21"/>
  <c r="K113" i="21"/>
  <c r="K91" i="21"/>
  <c r="K46" i="21"/>
  <c r="O128" i="21"/>
  <c r="O116" i="21"/>
  <c r="O117" i="21"/>
  <c r="O89" i="21"/>
  <c r="O91" i="21"/>
  <c r="O46" i="21"/>
  <c r="H133" i="21"/>
  <c r="H131" i="21"/>
  <c r="H118" i="21"/>
  <c r="H105" i="21"/>
  <c r="P133" i="21"/>
  <c r="P131" i="21"/>
  <c r="P118" i="21"/>
  <c r="P105" i="21"/>
  <c r="N137" i="21"/>
  <c r="N103" i="21"/>
  <c r="N104" i="21"/>
  <c r="R137" i="21"/>
  <c r="R103" i="21"/>
  <c r="R104" i="21"/>
  <c r="L139" i="21"/>
  <c r="L97" i="21"/>
  <c r="L98" i="21" s="1"/>
  <c r="I142" i="21"/>
  <c r="I108" i="21"/>
  <c r="L116" i="21"/>
  <c r="L117" i="21"/>
  <c r="L112" i="21"/>
  <c r="L113" i="21"/>
  <c r="L128" i="21"/>
  <c r="L91" i="21"/>
  <c r="L46" i="21"/>
  <c r="N92" i="21"/>
  <c r="N88" i="21"/>
  <c r="N93" i="21"/>
  <c r="N134" i="21"/>
  <c r="N4" i="21"/>
  <c r="N110" i="21" s="1"/>
  <c r="K137" i="21"/>
  <c r="K104" i="21"/>
  <c r="K103" i="21"/>
  <c r="O137" i="21"/>
  <c r="O104" i="21"/>
  <c r="O103" i="21"/>
  <c r="H138" i="21"/>
  <c r="H110" i="21"/>
  <c r="L138" i="21"/>
  <c r="L110" i="21"/>
  <c r="O15" i="21"/>
  <c r="O113" i="21" s="1"/>
  <c r="L18" i="21"/>
  <c r="L31" i="21" s="1"/>
  <c r="I139" i="21"/>
  <c r="I97" i="21"/>
  <c r="I98" i="21" s="1"/>
  <c r="M139" i="21"/>
  <c r="M97" i="21"/>
  <c r="M98" i="21" s="1"/>
  <c r="Q139" i="21"/>
  <c r="Q97" i="21"/>
  <c r="Q98" i="21" s="1"/>
  <c r="J114" i="21"/>
  <c r="J108" i="21"/>
  <c r="J142" i="21"/>
  <c r="N27" i="21"/>
  <c r="I117" i="21"/>
  <c r="I113" i="21"/>
  <c r="I128" i="21"/>
  <c r="I91" i="21"/>
  <c r="I116" i="21"/>
  <c r="I89" i="21"/>
  <c r="M117" i="21"/>
  <c r="M112" i="21"/>
  <c r="M113" i="21"/>
  <c r="M128" i="21"/>
  <c r="M91" i="21"/>
  <c r="M116" i="21"/>
  <c r="M89" i="21"/>
  <c r="Q117" i="21"/>
  <c r="Q128" i="21"/>
  <c r="Q116" i="21"/>
  <c r="Q91" i="21"/>
  <c r="Q89" i="21"/>
  <c r="J131" i="21"/>
  <c r="J118" i="21"/>
  <c r="J133" i="21"/>
  <c r="J105" i="21"/>
  <c r="I46" i="21"/>
  <c r="Q46" i="21"/>
  <c r="N48" i="21"/>
  <c r="N51" i="21" s="1"/>
  <c r="J57" i="21"/>
  <c r="J73" i="21" s="1"/>
  <c r="J87" i="21"/>
  <c r="J95" i="21" s="1"/>
  <c r="Q103" i="21"/>
  <c r="Q137" i="21"/>
  <c r="Q104" i="21"/>
  <c r="O139" i="21"/>
  <c r="O97" i="21"/>
  <c r="O98" i="21" s="1"/>
  <c r="L133" i="21"/>
  <c r="L131" i="21"/>
  <c r="L118" i="21"/>
  <c r="L105" i="21"/>
  <c r="M46" i="21"/>
  <c r="L89" i="21"/>
  <c r="I4" i="21"/>
  <c r="I114" i="21" s="1"/>
  <c r="J137" i="21"/>
  <c r="J103" i="21"/>
  <c r="J104" i="21"/>
  <c r="H139" i="21"/>
  <c r="H97" i="21"/>
  <c r="H98" i="21" s="1"/>
  <c r="P139" i="21"/>
  <c r="P97" i="21"/>
  <c r="P98" i="21" s="1"/>
  <c r="M142" i="21"/>
  <c r="M108" i="21"/>
  <c r="M114" i="21"/>
  <c r="P29" i="21"/>
  <c r="H116" i="21"/>
  <c r="H117" i="21"/>
  <c r="H112" i="21"/>
  <c r="H113" i="21"/>
  <c r="H128" i="21"/>
  <c r="H91" i="21"/>
  <c r="H46" i="21"/>
  <c r="P116" i="21"/>
  <c r="P117" i="21"/>
  <c r="P91" i="21"/>
  <c r="P46" i="21"/>
  <c r="P128" i="21"/>
  <c r="I131" i="21"/>
  <c r="I118" i="21"/>
  <c r="I133" i="21"/>
  <c r="I105" i="21"/>
  <c r="H109" i="21"/>
  <c r="H115" i="21" s="1"/>
  <c r="H119" i="21" s="1"/>
  <c r="H127" i="21" s="1"/>
  <c r="H106" i="21"/>
  <c r="P89" i="21"/>
  <c r="H137" i="21"/>
  <c r="H103" i="21"/>
  <c r="H104" i="21"/>
  <c r="L137" i="21"/>
  <c r="L103" i="21"/>
  <c r="L104" i="21"/>
  <c r="P137" i="21"/>
  <c r="P103" i="21"/>
  <c r="P104" i="21"/>
  <c r="I138" i="21"/>
  <c r="I110" i="21"/>
  <c r="M138" i="21"/>
  <c r="M110" i="21"/>
  <c r="I18" i="21"/>
  <c r="M18" i="21"/>
  <c r="M31" i="21" s="1"/>
  <c r="J139" i="21"/>
  <c r="J97" i="21"/>
  <c r="J98" i="21" s="1"/>
  <c r="N139" i="21"/>
  <c r="N97" i="21"/>
  <c r="N98" i="21" s="1"/>
  <c r="R139" i="21"/>
  <c r="R97" i="21"/>
  <c r="R98" i="21" s="1"/>
  <c r="K142" i="21"/>
  <c r="K108" i="21"/>
  <c r="K114" i="21"/>
  <c r="O27" i="21"/>
  <c r="O18" i="21" s="1"/>
  <c r="I109" i="21"/>
  <c r="I115" i="21" s="1"/>
  <c r="I119" i="21" s="1"/>
  <c r="I127" i="21" s="1"/>
  <c r="I106" i="21"/>
  <c r="J113" i="21"/>
  <c r="J128" i="21"/>
  <c r="J116" i="21"/>
  <c r="J117" i="21"/>
  <c r="J112" i="21"/>
  <c r="J89" i="21"/>
  <c r="N113" i="21"/>
  <c r="N128" i="21"/>
  <c r="N116" i="21"/>
  <c r="N112" i="21"/>
  <c r="N89" i="21"/>
  <c r="N117" i="21"/>
  <c r="R128" i="21"/>
  <c r="R116" i="21"/>
  <c r="R91" i="21"/>
  <c r="R117" i="21"/>
  <c r="R89" i="21"/>
  <c r="K133" i="21"/>
  <c r="K131" i="21"/>
  <c r="K118" i="21"/>
  <c r="K105" i="21"/>
  <c r="O133" i="21"/>
  <c r="O118" i="21"/>
  <c r="O105" i="21"/>
  <c r="O131" i="21"/>
  <c r="J46" i="21"/>
  <c r="R46" i="21"/>
  <c r="H89" i="21"/>
  <c r="L107" i="21"/>
  <c r="L136" i="21"/>
  <c r="M103" i="21"/>
  <c r="M104" i="21"/>
  <c r="M137" i="21"/>
  <c r="J110" i="21"/>
  <c r="J138" i="21"/>
  <c r="K97" i="21"/>
  <c r="K98" i="21" s="1"/>
  <c r="K139" i="21"/>
  <c r="K110" i="21"/>
  <c r="K138" i="21"/>
  <c r="M131" i="21"/>
  <c r="M118" i="21"/>
  <c r="Q131" i="21"/>
  <c r="Q118" i="21"/>
  <c r="M105" i="21"/>
  <c r="Q105" i="21"/>
  <c r="N131" i="21"/>
  <c r="N118" i="21"/>
  <c r="N133" i="21"/>
  <c r="R131" i="21"/>
  <c r="R118" i="21"/>
  <c r="R133" i="21"/>
  <c r="N105" i="21"/>
  <c r="R105" i="21"/>
  <c r="M133" i="21"/>
  <c r="Q133" i="21"/>
  <c r="R141" i="20"/>
  <c r="Q141" i="20"/>
  <c r="P141" i="20"/>
  <c r="O141" i="20"/>
  <c r="N141" i="20"/>
  <c r="M141" i="20"/>
  <c r="L141" i="20"/>
  <c r="K141" i="20"/>
  <c r="J141" i="20"/>
  <c r="I141" i="20"/>
  <c r="H141" i="20"/>
  <c r="R140" i="20"/>
  <c r="Q140" i="20"/>
  <c r="P140" i="20"/>
  <c r="O140" i="20"/>
  <c r="N140" i="20"/>
  <c r="M140" i="20"/>
  <c r="L140" i="20"/>
  <c r="K140" i="20"/>
  <c r="J140" i="20"/>
  <c r="I140" i="20"/>
  <c r="H140" i="20"/>
  <c r="I133" i="20"/>
  <c r="J132" i="20"/>
  <c r="J131" i="20"/>
  <c r="R130" i="20"/>
  <c r="Q130" i="20"/>
  <c r="P130" i="20"/>
  <c r="O130" i="20"/>
  <c r="N130" i="20"/>
  <c r="M130" i="20"/>
  <c r="L130" i="20"/>
  <c r="K130" i="20"/>
  <c r="J130" i="20"/>
  <c r="I130" i="20"/>
  <c r="H130" i="20"/>
  <c r="R129" i="20"/>
  <c r="Q129" i="20"/>
  <c r="P129" i="20"/>
  <c r="O129" i="20"/>
  <c r="N129" i="20"/>
  <c r="M129" i="20"/>
  <c r="L129" i="20"/>
  <c r="K129" i="20"/>
  <c r="J129" i="20"/>
  <c r="I129" i="20"/>
  <c r="H129" i="20"/>
  <c r="P128" i="20"/>
  <c r="J118" i="20"/>
  <c r="I117" i="20"/>
  <c r="I116" i="20"/>
  <c r="E114" i="20"/>
  <c r="Q113" i="20"/>
  <c r="M113" i="20"/>
  <c r="R111" i="20"/>
  <c r="Q111" i="20"/>
  <c r="P111" i="20"/>
  <c r="O111" i="20"/>
  <c r="N111" i="20"/>
  <c r="L111" i="20"/>
  <c r="K111" i="20"/>
  <c r="J111" i="20"/>
  <c r="I111" i="20"/>
  <c r="H111" i="20"/>
  <c r="M108" i="20"/>
  <c r="L108" i="20"/>
  <c r="N105" i="20"/>
  <c r="J104" i="20"/>
  <c r="R101" i="20"/>
  <c r="Q101" i="20"/>
  <c r="P101" i="20"/>
  <c r="O101" i="20"/>
  <c r="N101" i="20"/>
  <c r="M101" i="20"/>
  <c r="L101" i="20"/>
  <c r="K101" i="20"/>
  <c r="J101" i="20"/>
  <c r="I101" i="20"/>
  <c r="H101" i="20"/>
  <c r="K97" i="20"/>
  <c r="K98" i="20" s="1"/>
  <c r="O96" i="20"/>
  <c r="N96" i="20"/>
  <c r="M96" i="20"/>
  <c r="L96" i="20"/>
  <c r="K96" i="20"/>
  <c r="J96" i="20"/>
  <c r="I96" i="20"/>
  <c r="H96" i="20"/>
  <c r="R94" i="20"/>
  <c r="Q94" i="20"/>
  <c r="P94" i="20"/>
  <c r="O94" i="20"/>
  <c r="N94" i="20"/>
  <c r="M94" i="20"/>
  <c r="L94" i="20"/>
  <c r="K94" i="20"/>
  <c r="J94" i="20"/>
  <c r="I94" i="20"/>
  <c r="H94" i="20"/>
  <c r="Q89" i="20"/>
  <c r="Q102" i="20" s="1"/>
  <c r="M89" i="20"/>
  <c r="M102" i="20" s="1"/>
  <c r="I89" i="20"/>
  <c r="I102" i="20" s="1"/>
  <c r="H87" i="20"/>
  <c r="H95" i="20" s="1"/>
  <c r="R85" i="20"/>
  <c r="Q85" i="20"/>
  <c r="P85" i="20"/>
  <c r="O85" i="20"/>
  <c r="N85" i="20"/>
  <c r="M85" i="20"/>
  <c r="L85" i="20"/>
  <c r="K85" i="20"/>
  <c r="J85" i="20"/>
  <c r="I85" i="20"/>
  <c r="H85" i="20"/>
  <c r="R71" i="20"/>
  <c r="Q71" i="20"/>
  <c r="P71" i="20"/>
  <c r="O71" i="20"/>
  <c r="N71" i="20"/>
  <c r="L71" i="20"/>
  <c r="K71" i="20"/>
  <c r="J71" i="20"/>
  <c r="I71" i="20"/>
  <c r="H71" i="20"/>
  <c r="H57" i="20"/>
  <c r="H73" i="20" s="1"/>
  <c r="Q54" i="20"/>
  <c r="R54" i="20" s="1"/>
  <c r="N54" i="20"/>
  <c r="Q46" i="20"/>
  <c r="Q134" i="20" s="1"/>
  <c r="M46" i="20"/>
  <c r="M134" i="20" s="1"/>
  <c r="I46" i="20"/>
  <c r="I134" i="20" s="1"/>
  <c r="R41" i="20"/>
  <c r="R132" i="20" s="1"/>
  <c r="Q41" i="20"/>
  <c r="Q132" i="20" s="1"/>
  <c r="P41" i="20"/>
  <c r="P132" i="20" s="1"/>
  <c r="O41" i="20"/>
  <c r="O132" i="20" s="1"/>
  <c r="N41" i="20"/>
  <c r="N132" i="20" s="1"/>
  <c r="M41" i="20"/>
  <c r="M132" i="20" s="1"/>
  <c r="L41" i="20"/>
  <c r="L132" i="20" s="1"/>
  <c r="K41" i="20"/>
  <c r="K132" i="20" s="1"/>
  <c r="J41" i="20"/>
  <c r="I41" i="20"/>
  <c r="I132" i="20" s="1"/>
  <c r="H41" i="20"/>
  <c r="H132" i="20" s="1"/>
  <c r="R38" i="20"/>
  <c r="Q38" i="20"/>
  <c r="P38" i="20"/>
  <c r="O38" i="20"/>
  <c r="O91" i="20" s="1"/>
  <c r="N38" i="20"/>
  <c r="N133" i="20" s="1"/>
  <c r="M38" i="20"/>
  <c r="L38" i="20"/>
  <c r="K38" i="20"/>
  <c r="J38" i="20"/>
  <c r="J133" i="20" s="1"/>
  <c r="I38" i="20"/>
  <c r="H38" i="20"/>
  <c r="H133" i="20" s="1"/>
  <c r="R33" i="20"/>
  <c r="R128" i="20" s="1"/>
  <c r="Q33" i="20"/>
  <c r="P33" i="20"/>
  <c r="P117" i="20" s="1"/>
  <c r="O33" i="20"/>
  <c r="N33" i="20"/>
  <c r="N91" i="20" s="1"/>
  <c r="M33" i="20"/>
  <c r="L33" i="20"/>
  <c r="L128" i="20" s="1"/>
  <c r="K33" i="20"/>
  <c r="K113" i="20" s="1"/>
  <c r="J33" i="20"/>
  <c r="J91" i="20" s="1"/>
  <c r="I33" i="20"/>
  <c r="H33" i="20"/>
  <c r="H89" i="20" s="1"/>
  <c r="I32" i="20"/>
  <c r="I87" i="20" s="1"/>
  <c r="I95" i="20" s="1"/>
  <c r="R27" i="20"/>
  <c r="R108" i="20" s="1"/>
  <c r="Q27" i="20"/>
  <c r="Q142" i="20" s="1"/>
  <c r="P27" i="20"/>
  <c r="O27" i="20"/>
  <c r="N27" i="20"/>
  <c r="M27" i="20"/>
  <c r="L27" i="20"/>
  <c r="K27" i="20"/>
  <c r="K18" i="20" s="1"/>
  <c r="J27" i="20"/>
  <c r="J114" i="20" s="1"/>
  <c r="I27" i="20"/>
  <c r="H27" i="20"/>
  <c r="H142" i="20" s="1"/>
  <c r="R19" i="20"/>
  <c r="R139" i="20" s="1"/>
  <c r="Q19" i="20"/>
  <c r="Q97" i="20" s="1"/>
  <c r="P19" i="20"/>
  <c r="O19" i="20"/>
  <c r="O139" i="20" s="1"/>
  <c r="N19" i="20"/>
  <c r="N97" i="20" s="1"/>
  <c r="N98" i="20" s="1"/>
  <c r="M19" i="20"/>
  <c r="M18" i="20" s="1"/>
  <c r="L19" i="20"/>
  <c r="K19" i="20"/>
  <c r="K139" i="20" s="1"/>
  <c r="J19" i="20"/>
  <c r="J139" i="20" s="1"/>
  <c r="I19" i="20"/>
  <c r="I97" i="20" s="1"/>
  <c r="I98" i="20" s="1"/>
  <c r="I100" i="20" s="1"/>
  <c r="H19" i="20"/>
  <c r="P18" i="20"/>
  <c r="L18" i="20"/>
  <c r="H18" i="20"/>
  <c r="R15" i="20"/>
  <c r="Q15" i="20"/>
  <c r="P15" i="20"/>
  <c r="M111" i="20" s="1"/>
  <c r="R10" i="20"/>
  <c r="R138" i="20" s="1"/>
  <c r="Q10" i="20"/>
  <c r="O10" i="20"/>
  <c r="N10" i="20"/>
  <c r="N4" i="20" s="1"/>
  <c r="M10" i="20"/>
  <c r="L10" i="20"/>
  <c r="L138" i="20" s="1"/>
  <c r="K10" i="20"/>
  <c r="K138" i="20" s="1"/>
  <c r="J10" i="20"/>
  <c r="J4" i="20" s="1"/>
  <c r="I10" i="20"/>
  <c r="H10" i="20"/>
  <c r="R6" i="20"/>
  <c r="R105" i="20" s="1"/>
  <c r="Q6" i="20"/>
  <c r="Q105" i="20" s="1"/>
  <c r="P6" i="20"/>
  <c r="P5" i="20"/>
  <c r="O5" i="20"/>
  <c r="N5" i="20"/>
  <c r="N104" i="20" s="1"/>
  <c r="M5" i="20"/>
  <c r="M137" i="20" s="1"/>
  <c r="L5" i="20"/>
  <c r="L104" i="20" s="1"/>
  <c r="K5" i="20"/>
  <c r="J5" i="20"/>
  <c r="I5" i="20"/>
  <c r="I137" i="20" s="1"/>
  <c r="H5" i="20"/>
  <c r="H104" i="20" s="1"/>
  <c r="O4" i="20"/>
  <c r="K4" i="20"/>
  <c r="K31" i="20" s="1"/>
  <c r="R109" i="30" l="1"/>
  <c r="R115" i="30" s="1"/>
  <c r="R119" i="30" s="1"/>
  <c r="R127" i="30" s="1"/>
  <c r="R106" i="30"/>
  <c r="R109" i="29"/>
  <c r="R115" i="29" s="1"/>
  <c r="R119" i="29" s="1"/>
  <c r="R127" i="29" s="1"/>
  <c r="R106" i="29"/>
  <c r="R106" i="28"/>
  <c r="R109" i="28"/>
  <c r="R115" i="28" s="1"/>
  <c r="R119" i="28" s="1"/>
  <c r="R127" i="28" s="1"/>
  <c r="R87" i="27"/>
  <c r="R95" i="27" s="1"/>
  <c r="R57" i="27"/>
  <c r="R73" i="27" s="1"/>
  <c r="Q106" i="27"/>
  <c r="Q109" i="27"/>
  <c r="Q115" i="27" s="1"/>
  <c r="Q119" i="27" s="1"/>
  <c r="Q127" i="27" s="1"/>
  <c r="O87" i="26"/>
  <c r="O95" i="26" s="1"/>
  <c r="O57" i="26"/>
  <c r="O73" i="26" s="1"/>
  <c r="P32" i="26"/>
  <c r="N109" i="26"/>
  <c r="N115" i="26" s="1"/>
  <c r="N119" i="26" s="1"/>
  <c r="N127" i="26" s="1"/>
  <c r="N106" i="26"/>
  <c r="N57" i="25"/>
  <c r="N73" i="25" s="1"/>
  <c r="O32" i="25"/>
  <c r="N87" i="25"/>
  <c r="N95" i="25" s="1"/>
  <c r="M106" i="25"/>
  <c r="M109" i="25"/>
  <c r="M115" i="25" s="1"/>
  <c r="M119" i="25" s="1"/>
  <c r="M127" i="25" s="1"/>
  <c r="L109" i="24"/>
  <c r="L115" i="24" s="1"/>
  <c r="L119" i="24" s="1"/>
  <c r="L127" i="24" s="1"/>
  <c r="L106" i="24"/>
  <c r="M87" i="24"/>
  <c r="M95" i="24" s="1"/>
  <c r="M57" i="24"/>
  <c r="M73" i="24" s="1"/>
  <c r="N32" i="24"/>
  <c r="L87" i="23"/>
  <c r="L95" i="23" s="1"/>
  <c r="L57" i="23"/>
  <c r="L73" i="23" s="1"/>
  <c r="M32" i="23"/>
  <c r="K109" i="23"/>
  <c r="K115" i="23" s="1"/>
  <c r="K119" i="23" s="1"/>
  <c r="K127" i="23" s="1"/>
  <c r="K106" i="23"/>
  <c r="J135" i="22"/>
  <c r="J52" i="22"/>
  <c r="O135" i="22"/>
  <c r="O52" i="22"/>
  <c r="L57" i="22"/>
  <c r="L73" i="22" s="1"/>
  <c r="M32" i="22"/>
  <c r="L87" i="22"/>
  <c r="L95" i="22" s="1"/>
  <c r="L135" i="22"/>
  <c r="L52" i="22"/>
  <c r="N135" i="22"/>
  <c r="N52" i="22"/>
  <c r="R135" i="22"/>
  <c r="R52" i="22"/>
  <c r="I135" i="22"/>
  <c r="I52" i="22"/>
  <c r="K109" i="22"/>
  <c r="K115" i="22" s="1"/>
  <c r="K119" i="22" s="1"/>
  <c r="K127" i="22" s="1"/>
  <c r="K106" i="22"/>
  <c r="K135" i="22"/>
  <c r="K52" i="22"/>
  <c r="Q135" i="22"/>
  <c r="Q52" i="22"/>
  <c r="J134" i="21"/>
  <c r="J92" i="21"/>
  <c r="J88" i="21"/>
  <c r="J93" i="21"/>
  <c r="J48" i="21"/>
  <c r="J51" i="21" s="1"/>
  <c r="P124" i="21"/>
  <c r="P120" i="21"/>
  <c r="P125" i="21"/>
  <c r="P121" i="21"/>
  <c r="P122" i="21"/>
  <c r="P123" i="21"/>
  <c r="P99" i="21"/>
  <c r="P100" i="21"/>
  <c r="L102" i="21"/>
  <c r="L90" i="21"/>
  <c r="Q102" i="21"/>
  <c r="Q90" i="21"/>
  <c r="R102" i="21"/>
  <c r="R90" i="21"/>
  <c r="R122" i="21"/>
  <c r="R123" i="21"/>
  <c r="R124" i="21"/>
  <c r="R120" i="21"/>
  <c r="R125" i="21"/>
  <c r="R121" i="21"/>
  <c r="N102" i="21"/>
  <c r="N90" i="21"/>
  <c r="J122" i="21"/>
  <c r="J123" i="21"/>
  <c r="J124" i="21"/>
  <c r="J120" i="21"/>
  <c r="J121" i="21"/>
  <c r="J125" i="21"/>
  <c r="H134" i="21"/>
  <c r="H93" i="21"/>
  <c r="H92" i="21"/>
  <c r="H88" i="21"/>
  <c r="H48" i="21"/>
  <c r="H51" i="21" s="1"/>
  <c r="M134" i="21"/>
  <c r="M92" i="21"/>
  <c r="M88" i="21"/>
  <c r="M48" i="21"/>
  <c r="M51" i="21" s="1"/>
  <c r="M93" i="21"/>
  <c r="N135" i="21"/>
  <c r="N52" i="21"/>
  <c r="N114" i="21"/>
  <c r="N108" i="21"/>
  <c r="N142" i="21"/>
  <c r="N18" i="21"/>
  <c r="Q99" i="21"/>
  <c r="Q100" i="21"/>
  <c r="I99" i="21"/>
  <c r="I100" i="21"/>
  <c r="L134" i="21"/>
  <c r="L93" i="21"/>
  <c r="L92" i="21"/>
  <c r="L88" i="21"/>
  <c r="L48" i="21"/>
  <c r="L51" i="21" s="1"/>
  <c r="O123" i="21"/>
  <c r="O124" i="21"/>
  <c r="O120" i="21"/>
  <c r="O125" i="21"/>
  <c r="O121" i="21"/>
  <c r="O122" i="21"/>
  <c r="K123" i="21"/>
  <c r="K124" i="21"/>
  <c r="K120" i="21"/>
  <c r="K125" i="21"/>
  <c r="K121" i="21"/>
  <c r="K122" i="21"/>
  <c r="L87" i="21"/>
  <c r="L95" i="21" s="1"/>
  <c r="L57" i="21"/>
  <c r="L73" i="21" s="1"/>
  <c r="M32" i="21"/>
  <c r="K100" i="21"/>
  <c r="K99" i="21"/>
  <c r="H102" i="21"/>
  <c r="H90" i="21"/>
  <c r="J102" i="21"/>
  <c r="J90" i="21"/>
  <c r="O142" i="21"/>
  <c r="O108" i="21"/>
  <c r="R99" i="21"/>
  <c r="R100" i="21"/>
  <c r="J99" i="21"/>
  <c r="J100" i="21"/>
  <c r="H99" i="21"/>
  <c r="H100" i="21"/>
  <c r="O100" i="21"/>
  <c r="O99" i="21"/>
  <c r="Q134" i="21"/>
  <c r="Q92" i="21"/>
  <c r="Q88" i="21"/>
  <c r="Q48" i="21"/>
  <c r="Q51" i="21" s="1"/>
  <c r="Q93" i="21"/>
  <c r="Q125" i="21"/>
  <c r="Q121" i="21"/>
  <c r="Q122" i="21"/>
  <c r="Q123" i="21"/>
  <c r="Q120" i="21"/>
  <c r="Q124" i="21"/>
  <c r="I102" i="21"/>
  <c r="I90" i="21"/>
  <c r="O102" i="21"/>
  <c r="O90" i="21"/>
  <c r="K102" i="21"/>
  <c r="K90" i="21"/>
  <c r="R92" i="21"/>
  <c r="R88" i="21"/>
  <c r="R134" i="21"/>
  <c r="R93" i="21"/>
  <c r="R48" i="21"/>
  <c r="R51" i="21" s="1"/>
  <c r="N122" i="21"/>
  <c r="N123" i="21"/>
  <c r="N124" i="21"/>
  <c r="N120" i="21"/>
  <c r="N121" i="21"/>
  <c r="N125" i="21"/>
  <c r="P102" i="21"/>
  <c r="P90" i="21"/>
  <c r="P134" i="21"/>
  <c r="P93" i="21"/>
  <c r="P92" i="21"/>
  <c r="P88" i="21"/>
  <c r="P48" i="21"/>
  <c r="P51" i="21" s="1"/>
  <c r="H124" i="21"/>
  <c r="H120" i="21"/>
  <c r="H125" i="21"/>
  <c r="H121" i="21"/>
  <c r="H122" i="21"/>
  <c r="H123" i="21"/>
  <c r="I136" i="21"/>
  <c r="I107" i="21"/>
  <c r="I31" i="21"/>
  <c r="J109" i="21"/>
  <c r="J115" i="21" s="1"/>
  <c r="J119" i="21" s="1"/>
  <c r="J127" i="21" s="1"/>
  <c r="J106" i="21"/>
  <c r="I134" i="21"/>
  <c r="I92" i="21"/>
  <c r="I88" i="21"/>
  <c r="I48" i="21"/>
  <c r="I51" i="21" s="1"/>
  <c r="I93" i="21"/>
  <c r="M102" i="21"/>
  <c r="M90" i="21"/>
  <c r="I125" i="21"/>
  <c r="I121" i="21"/>
  <c r="I122" i="21"/>
  <c r="I123" i="21"/>
  <c r="I120" i="21"/>
  <c r="I124" i="21"/>
  <c r="I112" i="21"/>
  <c r="M99" i="21"/>
  <c r="M100" i="21"/>
  <c r="L124" i="21"/>
  <c r="L120" i="21"/>
  <c r="L125" i="21"/>
  <c r="L121" i="21"/>
  <c r="L122" i="21"/>
  <c r="L123" i="21"/>
  <c r="L99" i="21"/>
  <c r="L100" i="21"/>
  <c r="O134" i="21"/>
  <c r="O92" i="21"/>
  <c r="O93" i="21"/>
  <c r="O48" i="21"/>
  <c r="O51" i="21" s="1"/>
  <c r="O88" i="21"/>
  <c r="K134" i="21"/>
  <c r="K92" i="21"/>
  <c r="K93" i="21"/>
  <c r="K88" i="21"/>
  <c r="K48" i="21"/>
  <c r="K51" i="21" s="1"/>
  <c r="K109" i="21"/>
  <c r="K115" i="21" s="1"/>
  <c r="K119" i="21" s="1"/>
  <c r="K127" i="21" s="1"/>
  <c r="K106" i="21"/>
  <c r="N99" i="21"/>
  <c r="N100" i="21"/>
  <c r="P94" i="21"/>
  <c r="Q29" i="21"/>
  <c r="P27" i="21"/>
  <c r="M125" i="21"/>
  <c r="M121" i="21"/>
  <c r="M122" i="21"/>
  <c r="M123" i="21"/>
  <c r="M124" i="21"/>
  <c r="M120" i="21"/>
  <c r="O111" i="21"/>
  <c r="P15" i="21"/>
  <c r="O10" i="21"/>
  <c r="N136" i="21"/>
  <c r="N107" i="21"/>
  <c r="N31" i="21"/>
  <c r="H109" i="20"/>
  <c r="H115" i="20" s="1"/>
  <c r="H119" i="20" s="1"/>
  <c r="H127" i="20" s="1"/>
  <c r="H106" i="20"/>
  <c r="J107" i="20"/>
  <c r="J136" i="20"/>
  <c r="N107" i="20"/>
  <c r="N136" i="20"/>
  <c r="N99" i="20"/>
  <c r="N100" i="20"/>
  <c r="I106" i="20"/>
  <c r="I109" i="20"/>
  <c r="I115" i="20" s="1"/>
  <c r="I119" i="20" s="1"/>
  <c r="I127" i="20" s="1"/>
  <c r="K99" i="20"/>
  <c r="O31" i="20"/>
  <c r="H90" i="20"/>
  <c r="H102" i="20"/>
  <c r="Q98" i="20"/>
  <c r="N142" i="20"/>
  <c r="N108" i="20"/>
  <c r="N114" i="20"/>
  <c r="K133" i="20"/>
  <c r="K131" i="20"/>
  <c r="K118" i="20"/>
  <c r="H4" i="20"/>
  <c r="O142" i="20"/>
  <c r="O108" i="20"/>
  <c r="O117" i="20"/>
  <c r="O112" i="20"/>
  <c r="O128" i="20"/>
  <c r="O113" i="20"/>
  <c r="L131" i="20"/>
  <c r="L118" i="20"/>
  <c r="L105" i="20"/>
  <c r="L133" i="20"/>
  <c r="J46" i="20"/>
  <c r="M88" i="20"/>
  <c r="J89" i="20"/>
  <c r="H91" i="20"/>
  <c r="I92" i="20"/>
  <c r="O105" i="20"/>
  <c r="K104" i="20"/>
  <c r="K137" i="20"/>
  <c r="K103" i="20"/>
  <c r="O104" i="20"/>
  <c r="O103" i="20"/>
  <c r="P105" i="20"/>
  <c r="P96" i="20"/>
  <c r="M110" i="20"/>
  <c r="M138" i="20"/>
  <c r="O18" i="20"/>
  <c r="H139" i="20"/>
  <c r="H97" i="20"/>
  <c r="H98" i="20" s="1"/>
  <c r="L139" i="20"/>
  <c r="L97" i="20"/>
  <c r="L98" i="20" s="1"/>
  <c r="P139" i="20"/>
  <c r="P97" i="20"/>
  <c r="P98" i="20" s="1"/>
  <c r="I142" i="20"/>
  <c r="I108" i="20"/>
  <c r="I114" i="20"/>
  <c r="M114" i="20"/>
  <c r="I128" i="20"/>
  <c r="I113" i="20"/>
  <c r="I112" i="20"/>
  <c r="M128" i="20"/>
  <c r="M117" i="20"/>
  <c r="M116" i="20"/>
  <c r="Q128" i="20"/>
  <c r="Q117" i="20"/>
  <c r="Q116" i="20"/>
  <c r="R133" i="20"/>
  <c r="R131" i="20"/>
  <c r="R118" i="20"/>
  <c r="H46" i="20"/>
  <c r="L46" i="20"/>
  <c r="P46" i="20"/>
  <c r="I48" i="20"/>
  <c r="I51" i="20" s="1"/>
  <c r="M48" i="20"/>
  <c r="M51" i="20" s="1"/>
  <c r="Q48" i="20"/>
  <c r="Q51" i="20" s="1"/>
  <c r="I57" i="20"/>
  <c r="I73" i="20" s="1"/>
  <c r="L89" i="20"/>
  <c r="P89" i="20"/>
  <c r="I90" i="20"/>
  <c r="M90" i="20"/>
  <c r="Q90" i="20"/>
  <c r="R91" i="20"/>
  <c r="R96" i="20"/>
  <c r="O97" i="20"/>
  <c r="O98" i="20" s="1"/>
  <c r="I99" i="20"/>
  <c r="I103" i="20"/>
  <c r="K105" i="20"/>
  <c r="H108" i="20"/>
  <c r="P116" i="20"/>
  <c r="O118" i="20"/>
  <c r="O131" i="20"/>
  <c r="O133" i="20"/>
  <c r="O137" i="20"/>
  <c r="I139" i="20"/>
  <c r="J138" i="20"/>
  <c r="J110" i="20"/>
  <c r="J116" i="20"/>
  <c r="J128" i="20"/>
  <c r="J113" i="20"/>
  <c r="J112" i="20"/>
  <c r="K91" i="20"/>
  <c r="I93" i="20"/>
  <c r="M93" i="20"/>
  <c r="Q93" i="20"/>
  <c r="J97" i="20"/>
  <c r="J98" i="20" s="1"/>
  <c r="R97" i="20"/>
  <c r="R98" i="20" s="1"/>
  <c r="L103" i="20"/>
  <c r="I104" i="20"/>
  <c r="K110" i="20"/>
  <c r="I123" i="20"/>
  <c r="I125" i="20"/>
  <c r="I124" i="20"/>
  <c r="I118" i="20"/>
  <c r="I131" i="20"/>
  <c r="I138" i="20"/>
  <c r="N139" i="20"/>
  <c r="K136" i="20"/>
  <c r="K107" i="20"/>
  <c r="O136" i="20"/>
  <c r="O107" i="20"/>
  <c r="P137" i="20"/>
  <c r="P104" i="20"/>
  <c r="N138" i="20"/>
  <c r="N110" i="20"/>
  <c r="J142" i="20"/>
  <c r="J108" i="20"/>
  <c r="N116" i="20"/>
  <c r="N128" i="20"/>
  <c r="N113" i="20"/>
  <c r="N112" i="20"/>
  <c r="K117" i="20"/>
  <c r="K112" i="20"/>
  <c r="N46" i="20"/>
  <c r="I88" i="20"/>
  <c r="N89" i="20"/>
  <c r="L91" i="20"/>
  <c r="Q92" i="20"/>
  <c r="M103" i="20"/>
  <c r="K116" i="20"/>
  <c r="J117" i="20"/>
  <c r="I120" i="20"/>
  <c r="I121" i="20"/>
  <c r="I122" i="20"/>
  <c r="H137" i="20"/>
  <c r="Q139" i="20"/>
  <c r="M142" i="20"/>
  <c r="M139" i="20"/>
  <c r="M97" i="20"/>
  <c r="M98" i="20" s="1"/>
  <c r="R142" i="20"/>
  <c r="R116" i="20"/>
  <c r="R117" i="20"/>
  <c r="L4" i="20"/>
  <c r="L112" i="20" s="1"/>
  <c r="P4" i="20"/>
  <c r="P114" i="20" s="1"/>
  <c r="Q5" i="20"/>
  <c r="O138" i="20"/>
  <c r="O110" i="20"/>
  <c r="I18" i="20"/>
  <c r="Q18" i="20"/>
  <c r="K142" i="20"/>
  <c r="K108" i="20"/>
  <c r="J32" i="20"/>
  <c r="H131" i="20"/>
  <c r="H118" i="20"/>
  <c r="H105" i="20"/>
  <c r="P131" i="20"/>
  <c r="P118" i="20"/>
  <c r="P133" i="20"/>
  <c r="R46" i="20"/>
  <c r="Q88" i="20"/>
  <c r="R89" i="20"/>
  <c r="P91" i="20"/>
  <c r="M92" i="20"/>
  <c r="K114" i="20"/>
  <c r="I4" i="20"/>
  <c r="M4" i="20"/>
  <c r="J137" i="20"/>
  <c r="J103" i="20"/>
  <c r="N137" i="20"/>
  <c r="N103" i="20"/>
  <c r="R5" i="20"/>
  <c r="H110" i="20"/>
  <c r="H138" i="20"/>
  <c r="P10" i="20"/>
  <c r="J18" i="20"/>
  <c r="J31" i="20" s="1"/>
  <c r="N18" i="20"/>
  <c r="N31" i="20" s="1"/>
  <c r="R18" i="20"/>
  <c r="H114" i="20"/>
  <c r="L114" i="20"/>
  <c r="L142" i="20"/>
  <c r="P108" i="20"/>
  <c r="H113" i="20"/>
  <c r="H128" i="20"/>
  <c r="H117" i="20"/>
  <c r="H116" i="20"/>
  <c r="L113" i="20"/>
  <c r="L117" i="20"/>
  <c r="L116" i="20"/>
  <c r="P113" i="20"/>
  <c r="P112" i="20"/>
  <c r="I105" i="20"/>
  <c r="M131" i="20"/>
  <c r="M118" i="20"/>
  <c r="M105" i="20"/>
  <c r="Q131" i="20"/>
  <c r="Q118" i="20"/>
  <c r="Q133" i="20"/>
  <c r="K46" i="20"/>
  <c r="O46" i="20"/>
  <c r="K89" i="20"/>
  <c r="O89" i="20"/>
  <c r="I91" i="20"/>
  <c r="M91" i="20"/>
  <c r="Q91" i="20"/>
  <c r="Q96" i="20"/>
  <c r="H103" i="20"/>
  <c r="P103" i="20"/>
  <c r="M104" i="20"/>
  <c r="J105" i="20"/>
  <c r="Q108" i="20"/>
  <c r="H112" i="20"/>
  <c r="R113" i="20"/>
  <c r="O114" i="20"/>
  <c r="O116" i="20"/>
  <c r="N117" i="20"/>
  <c r="N118" i="20"/>
  <c r="K128" i="20"/>
  <c r="N131" i="20"/>
  <c r="M133" i="20"/>
  <c r="L137" i="20"/>
  <c r="Q138" i="20"/>
  <c r="P142" i="20"/>
  <c r="R141" i="19"/>
  <c r="Q141" i="19"/>
  <c r="P141" i="19"/>
  <c r="O141" i="19"/>
  <c r="N141" i="19"/>
  <c r="M141" i="19"/>
  <c r="L141" i="19"/>
  <c r="K141" i="19"/>
  <c r="J141" i="19"/>
  <c r="I141" i="19"/>
  <c r="H141" i="19"/>
  <c r="R140" i="19"/>
  <c r="Q140" i="19"/>
  <c r="P140" i="19"/>
  <c r="O140" i="19"/>
  <c r="N140" i="19"/>
  <c r="M140" i="19"/>
  <c r="L140" i="19"/>
  <c r="K140" i="19"/>
  <c r="J140" i="19"/>
  <c r="I140" i="19"/>
  <c r="H140" i="19"/>
  <c r="R130" i="19"/>
  <c r="Q130" i="19"/>
  <c r="P130" i="19"/>
  <c r="O130" i="19"/>
  <c r="N130" i="19"/>
  <c r="M130" i="19"/>
  <c r="L130" i="19"/>
  <c r="K130" i="19"/>
  <c r="J130" i="19"/>
  <c r="I130" i="19"/>
  <c r="H130" i="19"/>
  <c r="R129" i="19"/>
  <c r="Q129" i="19"/>
  <c r="P129" i="19"/>
  <c r="O129" i="19"/>
  <c r="N129" i="19"/>
  <c r="M129" i="19"/>
  <c r="L129" i="19"/>
  <c r="K129" i="19"/>
  <c r="J129" i="19"/>
  <c r="I129" i="19"/>
  <c r="H129" i="19"/>
  <c r="E114" i="19"/>
  <c r="N113" i="19"/>
  <c r="J113" i="19"/>
  <c r="R111" i="19"/>
  <c r="Q111" i="19"/>
  <c r="P111" i="19"/>
  <c r="O111" i="19"/>
  <c r="N111" i="19"/>
  <c r="M111" i="19"/>
  <c r="L111" i="19"/>
  <c r="K111" i="19"/>
  <c r="J111" i="19"/>
  <c r="I111" i="19"/>
  <c r="H111" i="19"/>
  <c r="R108" i="19"/>
  <c r="N108" i="19"/>
  <c r="O103" i="19"/>
  <c r="K103" i="19"/>
  <c r="R101" i="19"/>
  <c r="Q101" i="19"/>
  <c r="P101" i="19"/>
  <c r="O101" i="19"/>
  <c r="N101" i="19"/>
  <c r="M101" i="19"/>
  <c r="L101" i="19"/>
  <c r="K101" i="19"/>
  <c r="J101" i="19"/>
  <c r="I101" i="19"/>
  <c r="H101" i="19"/>
  <c r="N97" i="19"/>
  <c r="N98" i="19" s="1"/>
  <c r="J97" i="19"/>
  <c r="J98" i="19" s="1"/>
  <c r="R96" i="19"/>
  <c r="Q96" i="19"/>
  <c r="P96" i="19"/>
  <c r="O96" i="19"/>
  <c r="N96" i="19"/>
  <c r="M96" i="19"/>
  <c r="L96" i="19"/>
  <c r="K96" i="19"/>
  <c r="J96" i="19"/>
  <c r="I96" i="19"/>
  <c r="H96" i="19"/>
  <c r="R94" i="19"/>
  <c r="Q94" i="19"/>
  <c r="P94" i="19"/>
  <c r="O94" i="19"/>
  <c r="N94" i="19"/>
  <c r="M94" i="19"/>
  <c r="H94" i="19"/>
  <c r="I87" i="19"/>
  <c r="I95" i="19" s="1"/>
  <c r="H87" i="19"/>
  <c r="H95" i="19" s="1"/>
  <c r="R85" i="19"/>
  <c r="Q85" i="19"/>
  <c r="P85" i="19"/>
  <c r="O85" i="19"/>
  <c r="N85" i="19"/>
  <c r="M85" i="19"/>
  <c r="L85" i="19"/>
  <c r="K85" i="19"/>
  <c r="J85" i="19"/>
  <c r="I85" i="19"/>
  <c r="H85" i="19"/>
  <c r="R71" i="19"/>
  <c r="Q71" i="19"/>
  <c r="P71" i="19"/>
  <c r="O71" i="19"/>
  <c r="N71" i="19"/>
  <c r="M71" i="19"/>
  <c r="L71" i="19"/>
  <c r="K71" i="19"/>
  <c r="J71" i="19"/>
  <c r="I71" i="19"/>
  <c r="H71" i="19"/>
  <c r="I57" i="19"/>
  <c r="I73" i="19" s="1"/>
  <c r="H57" i="19"/>
  <c r="H73" i="19" s="1"/>
  <c r="R46" i="19"/>
  <c r="R134" i="19" s="1"/>
  <c r="N46" i="19"/>
  <c r="N134" i="19" s="1"/>
  <c r="J46" i="19"/>
  <c r="J134" i="19" s="1"/>
  <c r="R41" i="19"/>
  <c r="R132" i="19" s="1"/>
  <c r="Q41" i="19"/>
  <c r="Q132" i="19" s="1"/>
  <c r="P41" i="19"/>
  <c r="P132" i="19" s="1"/>
  <c r="O41" i="19"/>
  <c r="O105" i="19" s="1"/>
  <c r="N41" i="19"/>
  <c r="N132" i="19" s="1"/>
  <c r="M41" i="19"/>
  <c r="M132" i="19" s="1"/>
  <c r="L41" i="19"/>
  <c r="L132" i="19" s="1"/>
  <c r="K41" i="19"/>
  <c r="K132" i="19" s="1"/>
  <c r="J41" i="19"/>
  <c r="J132" i="19" s="1"/>
  <c r="I41" i="19"/>
  <c r="I132" i="19" s="1"/>
  <c r="H41" i="19"/>
  <c r="H132" i="19" s="1"/>
  <c r="R38" i="19"/>
  <c r="R131" i="19" s="1"/>
  <c r="Q38" i="19"/>
  <c r="Q105" i="19" s="1"/>
  <c r="P38" i="19"/>
  <c r="O38" i="19"/>
  <c r="N38" i="19"/>
  <c r="N105" i="19" s="1"/>
  <c r="M38" i="19"/>
  <c r="M105" i="19" s="1"/>
  <c r="L38" i="19"/>
  <c r="K38" i="19"/>
  <c r="J38" i="19"/>
  <c r="J133" i="19" s="1"/>
  <c r="I38" i="19"/>
  <c r="H38" i="19"/>
  <c r="R33" i="19"/>
  <c r="Q33" i="19"/>
  <c r="Q117" i="19" s="1"/>
  <c r="P33" i="19"/>
  <c r="P91" i="19" s="1"/>
  <c r="O33" i="19"/>
  <c r="O91" i="19" s="1"/>
  <c r="N33" i="19"/>
  <c r="M33" i="19"/>
  <c r="L33" i="19"/>
  <c r="K33" i="19"/>
  <c r="J33" i="19"/>
  <c r="I33" i="19"/>
  <c r="I117" i="19" s="1"/>
  <c r="H33" i="19"/>
  <c r="J32" i="19"/>
  <c r="I32" i="19"/>
  <c r="I29" i="19"/>
  <c r="I94" i="19" s="1"/>
  <c r="R27" i="19"/>
  <c r="R142" i="19" s="1"/>
  <c r="Q27" i="19"/>
  <c r="P27" i="19"/>
  <c r="O27" i="19"/>
  <c r="N27" i="19"/>
  <c r="N142" i="19" s="1"/>
  <c r="M27" i="19"/>
  <c r="H27" i="19"/>
  <c r="H21" i="19"/>
  <c r="H19" i="19" s="1"/>
  <c r="R19" i="19"/>
  <c r="R139" i="19" s="1"/>
  <c r="Q19" i="19"/>
  <c r="Q139" i="19" s="1"/>
  <c r="P19" i="19"/>
  <c r="O19" i="19"/>
  <c r="O139" i="19" s="1"/>
  <c r="N19" i="19"/>
  <c r="N139" i="19" s="1"/>
  <c r="M19" i="19"/>
  <c r="M139" i="19" s="1"/>
  <c r="L19" i="19"/>
  <c r="K19" i="19"/>
  <c r="K139" i="19" s="1"/>
  <c r="J19" i="19"/>
  <c r="J139" i="19" s="1"/>
  <c r="I19" i="19"/>
  <c r="I139" i="19" s="1"/>
  <c r="R18" i="19"/>
  <c r="P18" i="19"/>
  <c r="N18" i="19"/>
  <c r="R10" i="19"/>
  <c r="Q10" i="19"/>
  <c r="P10" i="19"/>
  <c r="P138" i="19" s="1"/>
  <c r="O10" i="19"/>
  <c r="N10" i="19"/>
  <c r="M10" i="19"/>
  <c r="M138" i="19" s="1"/>
  <c r="L10" i="19"/>
  <c r="L138" i="19" s="1"/>
  <c r="K10" i="19"/>
  <c r="K138" i="19" s="1"/>
  <c r="J10" i="19"/>
  <c r="I10" i="19"/>
  <c r="H10" i="19"/>
  <c r="H138" i="19" s="1"/>
  <c r="R5" i="19"/>
  <c r="Q5" i="19"/>
  <c r="Q137" i="19" s="1"/>
  <c r="P5" i="19"/>
  <c r="P104" i="19" s="1"/>
  <c r="O5" i="19"/>
  <c r="N5" i="19"/>
  <c r="N104" i="19" s="1"/>
  <c r="M5" i="19"/>
  <c r="M137" i="19" s="1"/>
  <c r="L5" i="19"/>
  <c r="L137" i="19" s="1"/>
  <c r="K5" i="19"/>
  <c r="J5" i="19"/>
  <c r="I5" i="19"/>
  <c r="I137" i="19" s="1"/>
  <c r="H5" i="19"/>
  <c r="H4" i="19" s="1"/>
  <c r="O4" i="19"/>
  <c r="O107" i="19" s="1"/>
  <c r="K4" i="19"/>
  <c r="K107" i="19" s="1"/>
  <c r="R109" i="27" l="1"/>
  <c r="R115" i="27" s="1"/>
  <c r="R119" i="27" s="1"/>
  <c r="R127" i="27" s="1"/>
  <c r="R106" i="27"/>
  <c r="P57" i="26"/>
  <c r="P73" i="26" s="1"/>
  <c r="P87" i="26"/>
  <c r="P95" i="26" s="1"/>
  <c r="Q32" i="26"/>
  <c r="O109" i="26"/>
  <c r="O115" i="26" s="1"/>
  <c r="O119" i="26" s="1"/>
  <c r="O127" i="26" s="1"/>
  <c r="O106" i="26"/>
  <c r="O87" i="25"/>
  <c r="O95" i="25" s="1"/>
  <c r="O57" i="25"/>
  <c r="O73" i="25" s="1"/>
  <c r="P32" i="25"/>
  <c r="N109" i="25"/>
  <c r="N115" i="25" s="1"/>
  <c r="N119" i="25" s="1"/>
  <c r="N127" i="25" s="1"/>
  <c r="N106" i="25"/>
  <c r="N87" i="24"/>
  <c r="N95" i="24" s="1"/>
  <c r="N57" i="24"/>
  <c r="N73" i="24" s="1"/>
  <c r="O32" i="24"/>
  <c r="M106" i="24"/>
  <c r="M109" i="24"/>
  <c r="M115" i="24" s="1"/>
  <c r="M119" i="24" s="1"/>
  <c r="M127" i="24" s="1"/>
  <c r="L109" i="23"/>
  <c r="L115" i="23" s="1"/>
  <c r="L119" i="23" s="1"/>
  <c r="L127" i="23" s="1"/>
  <c r="L106" i="23"/>
  <c r="M87" i="23"/>
  <c r="M95" i="23" s="1"/>
  <c r="M57" i="23"/>
  <c r="M73" i="23" s="1"/>
  <c r="N32" i="23"/>
  <c r="L109" i="22"/>
  <c r="L115" i="22" s="1"/>
  <c r="L119" i="22" s="1"/>
  <c r="L127" i="22" s="1"/>
  <c r="L106" i="22"/>
  <c r="N32" i="22"/>
  <c r="M87" i="22"/>
  <c r="M95" i="22" s="1"/>
  <c r="M57" i="22"/>
  <c r="M73" i="22" s="1"/>
  <c r="Q94" i="21"/>
  <c r="R29" i="21"/>
  <c r="Q27" i="21"/>
  <c r="O135" i="21"/>
  <c r="O52" i="21"/>
  <c r="I135" i="21"/>
  <c r="I52" i="21"/>
  <c r="R135" i="21"/>
  <c r="R52" i="21"/>
  <c r="L109" i="21"/>
  <c r="L115" i="21" s="1"/>
  <c r="L119" i="21" s="1"/>
  <c r="L127" i="21" s="1"/>
  <c r="L106" i="21"/>
  <c r="O138" i="21"/>
  <c r="O4" i="21"/>
  <c r="K135" i="21"/>
  <c r="K52" i="21"/>
  <c r="Q135" i="21"/>
  <c r="Q52" i="21"/>
  <c r="L135" i="21"/>
  <c r="L52" i="21"/>
  <c r="M135" i="21"/>
  <c r="M52" i="21"/>
  <c r="H135" i="21"/>
  <c r="H52" i="21"/>
  <c r="P111" i="21"/>
  <c r="Q15" i="21"/>
  <c r="P10" i="21"/>
  <c r="P113" i="21"/>
  <c r="P142" i="21"/>
  <c r="P108" i="21"/>
  <c r="P18" i="21"/>
  <c r="P135" i="21"/>
  <c r="P52" i="21"/>
  <c r="M87" i="21"/>
  <c r="M95" i="21" s="1"/>
  <c r="M57" i="21"/>
  <c r="M73" i="21" s="1"/>
  <c r="N32" i="21"/>
  <c r="J135" i="21"/>
  <c r="J52" i="21"/>
  <c r="R92" i="20"/>
  <c r="R88" i="20"/>
  <c r="R93" i="20"/>
  <c r="R48" i="20"/>
  <c r="R51" i="20" s="1"/>
  <c r="R134" i="20"/>
  <c r="P122" i="20"/>
  <c r="P121" i="20"/>
  <c r="P120" i="20"/>
  <c r="P125" i="20"/>
  <c r="P124" i="20"/>
  <c r="P123" i="20"/>
  <c r="K102" i="20"/>
  <c r="K90" i="20"/>
  <c r="L122" i="20"/>
  <c r="L121" i="20"/>
  <c r="L120" i="20"/>
  <c r="L125" i="20"/>
  <c r="L124" i="20"/>
  <c r="L123" i="20"/>
  <c r="I136" i="20"/>
  <c r="I107" i="20"/>
  <c r="I31" i="20"/>
  <c r="R102" i="20"/>
  <c r="R90" i="20"/>
  <c r="Q137" i="20"/>
  <c r="Q4" i="20"/>
  <c r="Q104" i="20"/>
  <c r="Q103" i="20"/>
  <c r="R124" i="20"/>
  <c r="R120" i="20"/>
  <c r="R123" i="20"/>
  <c r="R122" i="20"/>
  <c r="R121" i="20"/>
  <c r="R125" i="20"/>
  <c r="K125" i="20"/>
  <c r="K121" i="20"/>
  <c r="K120" i="20"/>
  <c r="K124" i="20"/>
  <c r="K123" i="20"/>
  <c r="K122" i="20"/>
  <c r="N102" i="20"/>
  <c r="N90" i="20"/>
  <c r="N124" i="20"/>
  <c r="N120" i="20"/>
  <c r="N125" i="20"/>
  <c r="N123" i="20"/>
  <c r="N122" i="20"/>
  <c r="N121" i="20"/>
  <c r="P90" i="20"/>
  <c r="P102" i="20"/>
  <c r="M135" i="20"/>
  <c r="M52" i="20"/>
  <c r="H48" i="20"/>
  <c r="H51" i="20" s="1"/>
  <c r="H134" i="20"/>
  <c r="H92" i="20"/>
  <c r="H93" i="20"/>
  <c r="H88" i="20"/>
  <c r="Q123" i="20"/>
  <c r="Q122" i="20"/>
  <c r="Q121" i="20"/>
  <c r="Q120" i="20"/>
  <c r="Q125" i="20"/>
  <c r="Q124" i="20"/>
  <c r="J134" i="20"/>
  <c r="J92" i="20"/>
  <c r="J88" i="20"/>
  <c r="J48" i="20"/>
  <c r="J51" i="20" s="1"/>
  <c r="J93" i="20"/>
  <c r="O125" i="20"/>
  <c r="O121" i="20"/>
  <c r="O124" i="20"/>
  <c r="O123" i="20"/>
  <c r="O122" i="20"/>
  <c r="O120" i="20"/>
  <c r="O134" i="20"/>
  <c r="O93" i="20"/>
  <c r="O48" i="20"/>
  <c r="O51" i="20" s="1"/>
  <c r="O92" i="20"/>
  <c r="O88" i="20"/>
  <c r="K32" i="20"/>
  <c r="J57" i="20"/>
  <c r="J73" i="20" s="1"/>
  <c r="J87" i="20"/>
  <c r="J95" i="20" s="1"/>
  <c r="P136" i="20"/>
  <c r="P107" i="20"/>
  <c r="P31" i="20"/>
  <c r="R99" i="20"/>
  <c r="R100" i="20"/>
  <c r="L90" i="20"/>
  <c r="L102" i="20"/>
  <c r="I135" i="20"/>
  <c r="I52" i="20"/>
  <c r="P100" i="20"/>
  <c r="P99" i="20"/>
  <c r="H100" i="20"/>
  <c r="H99" i="20"/>
  <c r="O100" i="20"/>
  <c r="O99" i="20"/>
  <c r="J102" i="20"/>
  <c r="J90" i="20"/>
  <c r="K134" i="20"/>
  <c r="K93" i="20"/>
  <c r="K92" i="20"/>
  <c r="K88" i="20"/>
  <c r="K48" i="20"/>
  <c r="K51" i="20" s="1"/>
  <c r="R137" i="20"/>
  <c r="R103" i="20"/>
  <c r="R104" i="20"/>
  <c r="R4" i="20"/>
  <c r="L136" i="20"/>
  <c r="L110" i="20"/>
  <c r="L31" i="20"/>
  <c r="L107" i="20"/>
  <c r="N92" i="20"/>
  <c r="N88" i="20"/>
  <c r="N93" i="20"/>
  <c r="N134" i="20"/>
  <c r="N48" i="20"/>
  <c r="N51" i="20" s="1"/>
  <c r="J99" i="20"/>
  <c r="J100" i="20"/>
  <c r="J124" i="20"/>
  <c r="J120" i="20"/>
  <c r="J123" i="20"/>
  <c r="J122" i="20"/>
  <c r="J121" i="20"/>
  <c r="J125" i="20"/>
  <c r="P134" i="20"/>
  <c r="P48" i="20"/>
  <c r="P51" i="20" s="1"/>
  <c r="P88" i="20"/>
  <c r="P92" i="20"/>
  <c r="P93" i="20"/>
  <c r="Q100" i="20"/>
  <c r="Q99" i="20"/>
  <c r="O90" i="20"/>
  <c r="O102" i="20"/>
  <c r="H122" i="20"/>
  <c r="H125" i="20"/>
  <c r="H124" i="20"/>
  <c r="H123" i="20"/>
  <c r="H121" i="20"/>
  <c r="H120" i="20"/>
  <c r="P138" i="20"/>
  <c r="P110" i="20"/>
  <c r="M136" i="20"/>
  <c r="M31" i="20"/>
  <c r="M107" i="20"/>
  <c r="M112" i="20"/>
  <c r="M100" i="20"/>
  <c r="M99" i="20"/>
  <c r="Q135" i="20"/>
  <c r="Q52" i="20"/>
  <c r="L134" i="20"/>
  <c r="L48" i="20"/>
  <c r="L51" i="20" s="1"/>
  <c r="L88" i="20"/>
  <c r="L92" i="20"/>
  <c r="L93" i="20"/>
  <c r="M123" i="20"/>
  <c r="M122" i="20"/>
  <c r="M121" i="20"/>
  <c r="M120" i="20"/>
  <c r="M125" i="20"/>
  <c r="M124" i="20"/>
  <c r="L100" i="20"/>
  <c r="L99" i="20"/>
  <c r="I110" i="20"/>
  <c r="H31" i="20"/>
  <c r="H136" i="20"/>
  <c r="H107" i="20"/>
  <c r="K100" i="20"/>
  <c r="H109" i="19"/>
  <c r="H115" i="19" s="1"/>
  <c r="H119" i="19" s="1"/>
  <c r="H127" i="19" s="1"/>
  <c r="H106" i="19"/>
  <c r="J99" i="19"/>
  <c r="H139" i="19"/>
  <c r="H97" i="19"/>
  <c r="H98" i="19" s="1"/>
  <c r="H18" i="19"/>
  <c r="I109" i="19"/>
  <c r="I115" i="19" s="1"/>
  <c r="I119" i="19" s="1"/>
  <c r="I127" i="19" s="1"/>
  <c r="I106" i="19"/>
  <c r="N99" i="19"/>
  <c r="N100" i="19"/>
  <c r="H136" i="19"/>
  <c r="H107" i="19"/>
  <c r="H110" i="19"/>
  <c r="H31" i="19"/>
  <c r="M4" i="19"/>
  <c r="J137" i="19"/>
  <c r="J103" i="19"/>
  <c r="R137" i="19"/>
  <c r="R103" i="19"/>
  <c r="O138" i="19"/>
  <c r="O110" i="19"/>
  <c r="I27" i="19"/>
  <c r="Q142" i="19"/>
  <c r="M116" i="19"/>
  <c r="M113" i="19"/>
  <c r="M128" i="19"/>
  <c r="M117" i="19"/>
  <c r="J4" i="19"/>
  <c r="N4" i="19"/>
  <c r="N114" i="19" s="1"/>
  <c r="R4" i="19"/>
  <c r="K137" i="19"/>
  <c r="K104" i="19"/>
  <c r="O137" i="19"/>
  <c r="O104" i="19"/>
  <c r="M18" i="19"/>
  <c r="Q18" i="19"/>
  <c r="O31" i="19"/>
  <c r="J117" i="19"/>
  <c r="J128" i="19"/>
  <c r="J116" i="19"/>
  <c r="J91" i="19"/>
  <c r="N117" i="19"/>
  <c r="N128" i="19"/>
  <c r="N116" i="19"/>
  <c r="N91" i="19"/>
  <c r="R117" i="19"/>
  <c r="R128" i="19"/>
  <c r="R116" i="19"/>
  <c r="R91" i="19"/>
  <c r="K131" i="19"/>
  <c r="K118" i="19"/>
  <c r="K133" i="19"/>
  <c r="O131" i="19"/>
  <c r="O118" i="19"/>
  <c r="O133" i="19"/>
  <c r="I46" i="19"/>
  <c r="M46" i="19"/>
  <c r="Q46" i="19"/>
  <c r="J48" i="19"/>
  <c r="J51" i="19" s="1"/>
  <c r="N48" i="19"/>
  <c r="N51" i="19" s="1"/>
  <c r="J88" i="19"/>
  <c r="J89" i="19"/>
  <c r="J100" i="19" s="1"/>
  <c r="O89" i="19"/>
  <c r="I91" i="19"/>
  <c r="N92" i="19"/>
  <c r="N93" i="19"/>
  <c r="M97" i="19"/>
  <c r="M98" i="19" s="1"/>
  <c r="R97" i="19"/>
  <c r="R98" i="19" s="1"/>
  <c r="L103" i="19"/>
  <c r="Q103" i="19"/>
  <c r="L104" i="19"/>
  <c r="Q104" i="19"/>
  <c r="K105" i="19"/>
  <c r="Q108" i="19"/>
  <c r="R112" i="19"/>
  <c r="R113" i="19"/>
  <c r="P116" i="19"/>
  <c r="N118" i="19"/>
  <c r="O132" i="19"/>
  <c r="O136" i="19"/>
  <c r="M110" i="19"/>
  <c r="Q138" i="19"/>
  <c r="O142" i="19"/>
  <c r="O108" i="19"/>
  <c r="O114" i="19"/>
  <c r="J87" i="19"/>
  <c r="J95" i="19" s="1"/>
  <c r="J57" i="19"/>
  <c r="J73" i="19" s="1"/>
  <c r="K116" i="19"/>
  <c r="K117" i="19"/>
  <c r="K112" i="19"/>
  <c r="K113" i="19"/>
  <c r="O116" i="19"/>
  <c r="O117" i="19"/>
  <c r="O112" i="19"/>
  <c r="O128" i="19"/>
  <c r="H131" i="19"/>
  <c r="H118" i="19"/>
  <c r="H133" i="19"/>
  <c r="H105" i="19"/>
  <c r="L131" i="19"/>
  <c r="L118" i="19"/>
  <c r="L105" i="19"/>
  <c r="P131" i="19"/>
  <c r="P118" i="19"/>
  <c r="P105" i="19"/>
  <c r="K89" i="19"/>
  <c r="Q89" i="19"/>
  <c r="K91" i="19"/>
  <c r="J92" i="19"/>
  <c r="J93" i="19"/>
  <c r="I97" i="19"/>
  <c r="I98" i="19" s="1"/>
  <c r="H103" i="19"/>
  <c r="M103" i="19"/>
  <c r="H104" i="19"/>
  <c r="M104" i="19"/>
  <c r="R104" i="19"/>
  <c r="R105" i="19"/>
  <c r="J131" i="19"/>
  <c r="L133" i="19"/>
  <c r="H137" i="19"/>
  <c r="L4" i="19"/>
  <c r="L112" i="19" s="1"/>
  <c r="P4" i="19"/>
  <c r="J138" i="19"/>
  <c r="J110" i="19"/>
  <c r="N138" i="19"/>
  <c r="R138" i="19"/>
  <c r="R110" i="19"/>
  <c r="O18" i="19"/>
  <c r="L139" i="19"/>
  <c r="L97" i="19"/>
  <c r="L98" i="19" s="1"/>
  <c r="P139" i="19"/>
  <c r="P97" i="19"/>
  <c r="P98" i="19" s="1"/>
  <c r="H142" i="19"/>
  <c r="H108" i="19"/>
  <c r="H114" i="19"/>
  <c r="P142" i="19"/>
  <c r="P108" i="19"/>
  <c r="P114" i="19"/>
  <c r="J29" i="19"/>
  <c r="K32" i="19"/>
  <c r="H128" i="19"/>
  <c r="H117" i="19"/>
  <c r="H112" i="19"/>
  <c r="H113" i="19"/>
  <c r="H89" i="19"/>
  <c r="L128" i="19"/>
  <c r="L117" i="19"/>
  <c r="L113" i="19"/>
  <c r="L89" i="19"/>
  <c r="P128" i="19"/>
  <c r="P117" i="19"/>
  <c r="P112" i="19"/>
  <c r="P113" i="19"/>
  <c r="P89" i="19"/>
  <c r="I133" i="19"/>
  <c r="I131" i="19"/>
  <c r="I118" i="19"/>
  <c r="M133" i="19"/>
  <c r="M131" i="19"/>
  <c r="M118" i="19"/>
  <c r="Q133" i="19"/>
  <c r="Q131" i="19"/>
  <c r="Q118" i="19"/>
  <c r="K46" i="19"/>
  <c r="O46" i="19"/>
  <c r="R88" i="19"/>
  <c r="M89" i="19"/>
  <c r="R89" i="19"/>
  <c r="L91" i="19"/>
  <c r="Q91" i="19"/>
  <c r="O97" i="19"/>
  <c r="O98" i="19" s="1"/>
  <c r="I103" i="19"/>
  <c r="I104" i="19"/>
  <c r="I105" i="19"/>
  <c r="K110" i="19"/>
  <c r="M112" i="19"/>
  <c r="H116" i="19"/>
  <c r="K128" i="19"/>
  <c r="P133" i="19"/>
  <c r="P137" i="19"/>
  <c r="I4" i="19"/>
  <c r="Q4" i="19"/>
  <c r="Q110" i="19" s="1"/>
  <c r="N137" i="19"/>
  <c r="N103" i="19"/>
  <c r="M114" i="19"/>
  <c r="M108" i="19"/>
  <c r="I113" i="19"/>
  <c r="I128" i="19"/>
  <c r="I116" i="19"/>
  <c r="Q116" i="19"/>
  <c r="Q113" i="19"/>
  <c r="Q128" i="19"/>
  <c r="N133" i="19"/>
  <c r="N131" i="19"/>
  <c r="R133" i="19"/>
  <c r="R118" i="19"/>
  <c r="H46" i="19"/>
  <c r="L46" i="19"/>
  <c r="P46" i="19"/>
  <c r="R48" i="19"/>
  <c r="R51" i="19" s="1"/>
  <c r="N88" i="19"/>
  <c r="I89" i="19"/>
  <c r="N89" i="19"/>
  <c r="H91" i="19"/>
  <c r="M91" i="19"/>
  <c r="R92" i="19"/>
  <c r="R93" i="19"/>
  <c r="K97" i="19"/>
  <c r="K98" i="19" s="1"/>
  <c r="Q97" i="19"/>
  <c r="Q98" i="19" s="1"/>
  <c r="P103" i="19"/>
  <c r="J104" i="19"/>
  <c r="J105" i="19"/>
  <c r="O113" i="19"/>
  <c r="L116" i="19"/>
  <c r="J118" i="19"/>
  <c r="K136" i="19"/>
  <c r="I138" i="19"/>
  <c r="M142" i="19"/>
  <c r="R141" i="18"/>
  <c r="Q141" i="18"/>
  <c r="P141" i="18"/>
  <c r="O141" i="18"/>
  <c r="N141" i="18"/>
  <c r="M141" i="18"/>
  <c r="L141" i="18"/>
  <c r="K141" i="18"/>
  <c r="J141" i="18"/>
  <c r="I141" i="18"/>
  <c r="H141" i="18"/>
  <c r="R140" i="18"/>
  <c r="Q140" i="18"/>
  <c r="P140" i="18"/>
  <c r="O140" i="18"/>
  <c r="N140" i="18"/>
  <c r="M140" i="18"/>
  <c r="L140" i="18"/>
  <c r="K140" i="18"/>
  <c r="J140" i="18"/>
  <c r="I140" i="18"/>
  <c r="H140" i="18"/>
  <c r="J132" i="18"/>
  <c r="R130" i="18"/>
  <c r="Q130" i="18"/>
  <c r="P130" i="18"/>
  <c r="O130" i="18"/>
  <c r="N130" i="18"/>
  <c r="M130" i="18"/>
  <c r="L130" i="18"/>
  <c r="K130" i="18"/>
  <c r="J130" i="18"/>
  <c r="I130" i="18"/>
  <c r="H130" i="18"/>
  <c r="R129" i="18"/>
  <c r="Q129" i="18"/>
  <c r="P129" i="18"/>
  <c r="O129" i="18"/>
  <c r="N129" i="18"/>
  <c r="M129" i="18"/>
  <c r="L129" i="18"/>
  <c r="K129" i="18"/>
  <c r="J129" i="18"/>
  <c r="I129" i="18"/>
  <c r="H129" i="18"/>
  <c r="R128" i="18"/>
  <c r="R117" i="18"/>
  <c r="M116" i="18"/>
  <c r="M120" i="18" s="1"/>
  <c r="E114" i="18"/>
  <c r="R111" i="18"/>
  <c r="Q111" i="18"/>
  <c r="P111" i="18"/>
  <c r="O111" i="18"/>
  <c r="N111" i="18"/>
  <c r="M111" i="18"/>
  <c r="I111" i="18"/>
  <c r="H111" i="18"/>
  <c r="N108" i="18"/>
  <c r="I107" i="18"/>
  <c r="K105" i="18"/>
  <c r="N104" i="18"/>
  <c r="Q103" i="18"/>
  <c r="I103" i="18"/>
  <c r="R101" i="18"/>
  <c r="Q101" i="18"/>
  <c r="P101" i="18"/>
  <c r="O101" i="18"/>
  <c r="N101" i="18"/>
  <c r="M101" i="18"/>
  <c r="L101" i="18"/>
  <c r="K101" i="18"/>
  <c r="J101" i="18"/>
  <c r="I101" i="18"/>
  <c r="H101" i="18"/>
  <c r="R96" i="18"/>
  <c r="Q96" i="18"/>
  <c r="P96" i="18"/>
  <c r="O96" i="18"/>
  <c r="N96" i="18"/>
  <c r="M96" i="18"/>
  <c r="L96" i="18"/>
  <c r="K96" i="18"/>
  <c r="J96" i="18"/>
  <c r="I96" i="18"/>
  <c r="H96" i="18"/>
  <c r="R94" i="18"/>
  <c r="Q94" i="18"/>
  <c r="P94" i="18"/>
  <c r="O94" i="18"/>
  <c r="N94" i="18"/>
  <c r="M94" i="18"/>
  <c r="L94" i="18"/>
  <c r="K94" i="18"/>
  <c r="J94" i="18"/>
  <c r="H94" i="18"/>
  <c r="H87" i="18"/>
  <c r="H95" i="18" s="1"/>
  <c r="H109" i="18" s="1"/>
  <c r="H115" i="18" s="1"/>
  <c r="H119" i="18" s="1"/>
  <c r="H127" i="18" s="1"/>
  <c r="R85" i="18"/>
  <c r="Q85" i="18"/>
  <c r="P85" i="18"/>
  <c r="O85" i="18"/>
  <c r="N85" i="18"/>
  <c r="M85" i="18"/>
  <c r="L85" i="18"/>
  <c r="K85" i="18"/>
  <c r="J85" i="18"/>
  <c r="I85" i="18"/>
  <c r="H85" i="18"/>
  <c r="R71" i="18"/>
  <c r="Q71" i="18"/>
  <c r="P71" i="18"/>
  <c r="O71" i="18"/>
  <c r="N71" i="18"/>
  <c r="M71" i="18"/>
  <c r="L71" i="18"/>
  <c r="K71" i="18"/>
  <c r="J71" i="18"/>
  <c r="I71" i="18"/>
  <c r="H71" i="18"/>
  <c r="H57" i="18"/>
  <c r="H73" i="18" s="1"/>
  <c r="R46" i="18"/>
  <c r="R88" i="18" s="1"/>
  <c r="N46" i="18"/>
  <c r="N92" i="18" s="1"/>
  <c r="J46" i="18"/>
  <c r="R41" i="18"/>
  <c r="R132" i="18" s="1"/>
  <c r="Q41" i="18"/>
  <c r="Q132" i="18" s="1"/>
  <c r="P41" i="18"/>
  <c r="P132" i="18" s="1"/>
  <c r="O41" i="18"/>
  <c r="O132" i="18" s="1"/>
  <c r="N41" i="18"/>
  <c r="N132" i="18" s="1"/>
  <c r="M41" i="18"/>
  <c r="M132" i="18" s="1"/>
  <c r="L41" i="18"/>
  <c r="L132" i="18" s="1"/>
  <c r="K41" i="18"/>
  <c r="K132" i="18" s="1"/>
  <c r="J41" i="18"/>
  <c r="I41" i="18"/>
  <c r="I132" i="18" s="1"/>
  <c r="H41" i="18"/>
  <c r="H132" i="18" s="1"/>
  <c r="R38" i="18"/>
  <c r="Q38" i="18"/>
  <c r="Q105" i="18" s="1"/>
  <c r="P38" i="18"/>
  <c r="O38" i="18"/>
  <c r="O131" i="18" s="1"/>
  <c r="N38" i="18"/>
  <c r="M38" i="18"/>
  <c r="M131" i="18" s="1"/>
  <c r="L38" i="18"/>
  <c r="K38" i="18"/>
  <c r="J38" i="18"/>
  <c r="I38" i="18"/>
  <c r="I105" i="18" s="1"/>
  <c r="H38" i="18"/>
  <c r="R33" i="18"/>
  <c r="Q33" i="18"/>
  <c r="Q116" i="18" s="1"/>
  <c r="P33" i="18"/>
  <c r="O33" i="18"/>
  <c r="N33" i="18"/>
  <c r="M33" i="18"/>
  <c r="M91" i="18" s="1"/>
  <c r="L33" i="18"/>
  <c r="K33" i="18"/>
  <c r="K113" i="18" s="1"/>
  <c r="J33" i="18"/>
  <c r="I33" i="18"/>
  <c r="I116" i="18" s="1"/>
  <c r="H33" i="18"/>
  <c r="J32" i="18"/>
  <c r="I32" i="18"/>
  <c r="I87" i="18" s="1"/>
  <c r="I95" i="18" s="1"/>
  <c r="I29" i="18"/>
  <c r="I94" i="18" s="1"/>
  <c r="R27" i="18"/>
  <c r="R108" i="18" s="1"/>
  <c r="Q27" i="18"/>
  <c r="P27" i="18"/>
  <c r="O27" i="18"/>
  <c r="N27" i="18"/>
  <c r="M27" i="18"/>
  <c r="L27" i="18"/>
  <c r="K27" i="18"/>
  <c r="J27" i="18"/>
  <c r="J108" i="18" s="1"/>
  <c r="H27" i="18"/>
  <c r="H142" i="18" s="1"/>
  <c r="R19" i="18"/>
  <c r="Q19" i="18"/>
  <c r="Q139" i="18" s="1"/>
  <c r="P19" i="18"/>
  <c r="O19" i="18"/>
  <c r="O139" i="18" s="1"/>
  <c r="N19" i="18"/>
  <c r="M19" i="18"/>
  <c r="M139" i="18" s="1"/>
  <c r="L19" i="18"/>
  <c r="K19" i="18"/>
  <c r="K139" i="18" s="1"/>
  <c r="J19" i="18"/>
  <c r="I19" i="18"/>
  <c r="I139" i="18" s="1"/>
  <c r="H19" i="18"/>
  <c r="R18" i="18"/>
  <c r="Q18" i="18"/>
  <c r="N18" i="18"/>
  <c r="M18" i="18"/>
  <c r="J18" i="18"/>
  <c r="L15" i="18"/>
  <c r="L111" i="18" s="1"/>
  <c r="K15" i="18"/>
  <c r="J15" i="18"/>
  <c r="J111" i="18" s="1"/>
  <c r="R10" i="18"/>
  <c r="Q10" i="18"/>
  <c r="P10" i="18"/>
  <c r="O10" i="18"/>
  <c r="N10" i="18"/>
  <c r="M10" i="18"/>
  <c r="L10" i="18"/>
  <c r="I10" i="18"/>
  <c r="H10" i="18"/>
  <c r="R5" i="18"/>
  <c r="Q5" i="18"/>
  <c r="P5" i="18"/>
  <c r="O5" i="18"/>
  <c r="N5" i="18"/>
  <c r="M5" i="18"/>
  <c r="L5" i="18"/>
  <c r="L104" i="18" s="1"/>
  <c r="K5" i="18"/>
  <c r="J5" i="18"/>
  <c r="I5" i="18"/>
  <c r="H5" i="18"/>
  <c r="R4" i="18"/>
  <c r="Q4" i="18"/>
  <c r="Q136" i="18" s="1"/>
  <c r="N4" i="18"/>
  <c r="M4" i="18"/>
  <c r="M136" i="18" s="1"/>
  <c r="I4" i="18"/>
  <c r="I136" i="18" s="1"/>
  <c r="R32" i="26" l="1"/>
  <c r="Q87" i="26"/>
  <c r="Q95" i="26" s="1"/>
  <c r="Q57" i="26"/>
  <c r="Q73" i="26" s="1"/>
  <c r="P109" i="26"/>
  <c r="P115" i="26" s="1"/>
  <c r="P119" i="26" s="1"/>
  <c r="P127" i="26" s="1"/>
  <c r="P106" i="26"/>
  <c r="P87" i="25"/>
  <c r="P95" i="25" s="1"/>
  <c r="P57" i="25"/>
  <c r="P73" i="25" s="1"/>
  <c r="Q32" i="25"/>
  <c r="O109" i="25"/>
  <c r="O115" i="25" s="1"/>
  <c r="O119" i="25" s="1"/>
  <c r="O127" i="25" s="1"/>
  <c r="O106" i="25"/>
  <c r="P32" i="24"/>
  <c r="O57" i="24"/>
  <c r="O73" i="24" s="1"/>
  <c r="O87" i="24"/>
  <c r="O95" i="24" s="1"/>
  <c r="N106" i="24"/>
  <c r="N109" i="24"/>
  <c r="N115" i="24" s="1"/>
  <c r="N119" i="24" s="1"/>
  <c r="N127" i="24" s="1"/>
  <c r="M109" i="23"/>
  <c r="M115" i="23" s="1"/>
  <c r="M119" i="23" s="1"/>
  <c r="M127" i="23" s="1"/>
  <c r="M106" i="23"/>
  <c r="N87" i="23"/>
  <c r="N95" i="23" s="1"/>
  <c r="N57" i="23"/>
  <c r="N73" i="23" s="1"/>
  <c r="O32" i="23"/>
  <c r="M106" i="22"/>
  <c r="M109" i="22"/>
  <c r="M115" i="22" s="1"/>
  <c r="M119" i="22" s="1"/>
  <c r="M127" i="22" s="1"/>
  <c r="O32" i="22"/>
  <c r="N87" i="22"/>
  <c r="N95" i="22" s="1"/>
  <c r="N57" i="22"/>
  <c r="N73" i="22" s="1"/>
  <c r="M109" i="21"/>
  <c r="M115" i="21" s="1"/>
  <c r="M119" i="21" s="1"/>
  <c r="M127" i="21" s="1"/>
  <c r="M106" i="21"/>
  <c r="P138" i="21"/>
  <c r="P4" i="21"/>
  <c r="Q142" i="21"/>
  <c r="Q108" i="21"/>
  <c r="Q18" i="21"/>
  <c r="O136" i="21"/>
  <c r="O107" i="21"/>
  <c r="O31" i="21"/>
  <c r="O112" i="21"/>
  <c r="O114" i="21"/>
  <c r="N87" i="21"/>
  <c r="N95" i="21" s="1"/>
  <c r="O32" i="21"/>
  <c r="N57" i="21"/>
  <c r="N73" i="21" s="1"/>
  <c r="O110" i="21"/>
  <c r="Q111" i="21"/>
  <c r="Q10" i="21"/>
  <c r="R15" i="21"/>
  <c r="Q113" i="21"/>
  <c r="R94" i="21"/>
  <c r="R27" i="21"/>
  <c r="L135" i="20"/>
  <c r="L52" i="20"/>
  <c r="R107" i="20"/>
  <c r="R136" i="20"/>
  <c r="R31" i="20"/>
  <c r="R110" i="20"/>
  <c r="R114" i="20"/>
  <c r="R112" i="20"/>
  <c r="K135" i="20"/>
  <c r="K52" i="20"/>
  <c r="K57" i="20"/>
  <c r="K73" i="20" s="1"/>
  <c r="K87" i="20"/>
  <c r="K95" i="20" s="1"/>
  <c r="L32" i="20"/>
  <c r="R52" i="20"/>
  <c r="R135" i="20"/>
  <c r="J135" i="20"/>
  <c r="J52" i="20"/>
  <c r="P135" i="20"/>
  <c r="P52" i="20"/>
  <c r="Q136" i="20"/>
  <c r="Q107" i="20"/>
  <c r="Q31" i="20"/>
  <c r="Q112" i="20"/>
  <c r="Q114" i="20"/>
  <c r="Q110" i="20"/>
  <c r="J106" i="20"/>
  <c r="J109" i="20"/>
  <c r="J115" i="20" s="1"/>
  <c r="J119" i="20" s="1"/>
  <c r="J127" i="20" s="1"/>
  <c r="N52" i="20"/>
  <c r="N135" i="20"/>
  <c r="O135" i="20"/>
  <c r="O52" i="20"/>
  <c r="H135" i="20"/>
  <c r="H52" i="20"/>
  <c r="I102" i="19"/>
  <c r="I90" i="19"/>
  <c r="P102" i="19"/>
  <c r="P90" i="19"/>
  <c r="K29" i="19"/>
  <c r="J94" i="19"/>
  <c r="J27" i="19"/>
  <c r="H134" i="19"/>
  <c r="H93" i="19"/>
  <c r="H92" i="19"/>
  <c r="H88" i="19"/>
  <c r="H48" i="19"/>
  <c r="H51" i="19" s="1"/>
  <c r="H90" i="19"/>
  <c r="H102" i="19"/>
  <c r="Q102" i="19"/>
  <c r="Q90" i="19"/>
  <c r="P123" i="19"/>
  <c r="P125" i="19"/>
  <c r="P121" i="19"/>
  <c r="P122" i="19"/>
  <c r="P124" i="19"/>
  <c r="P120" i="19"/>
  <c r="L123" i="19"/>
  <c r="L125" i="19"/>
  <c r="L121" i="19"/>
  <c r="L122" i="19"/>
  <c r="L120" i="19"/>
  <c r="L124" i="19"/>
  <c r="N90" i="19"/>
  <c r="N102" i="19"/>
  <c r="P134" i="19"/>
  <c r="P93" i="19"/>
  <c r="P92" i="19"/>
  <c r="P48" i="19"/>
  <c r="P51" i="19" s="1"/>
  <c r="P88" i="19"/>
  <c r="O100" i="19"/>
  <c r="O99" i="19"/>
  <c r="M102" i="19"/>
  <c r="M90" i="19"/>
  <c r="L32" i="19"/>
  <c r="K57" i="19"/>
  <c r="K73" i="19" s="1"/>
  <c r="K87" i="19"/>
  <c r="K95" i="19" s="1"/>
  <c r="P100" i="19"/>
  <c r="P99" i="19"/>
  <c r="N110" i="19"/>
  <c r="P136" i="19"/>
  <c r="P107" i="19"/>
  <c r="P31" i="19"/>
  <c r="K102" i="19"/>
  <c r="K90" i="19"/>
  <c r="J109" i="19"/>
  <c r="J115" i="19" s="1"/>
  <c r="J119" i="19" s="1"/>
  <c r="J127" i="19" s="1"/>
  <c r="J106" i="19"/>
  <c r="P110" i="19"/>
  <c r="M100" i="19"/>
  <c r="M99" i="19"/>
  <c r="O102" i="19"/>
  <c r="O90" i="19"/>
  <c r="J135" i="19"/>
  <c r="J52" i="19"/>
  <c r="N125" i="19"/>
  <c r="N121" i="19"/>
  <c r="N123" i="19"/>
  <c r="N124" i="19"/>
  <c r="N120" i="19"/>
  <c r="N122" i="19"/>
  <c r="J125" i="19"/>
  <c r="J121" i="19"/>
  <c r="J123" i="19"/>
  <c r="J124" i="19"/>
  <c r="J120" i="19"/>
  <c r="J122" i="19"/>
  <c r="R136" i="19"/>
  <c r="R107" i="19"/>
  <c r="R114" i="19"/>
  <c r="R31" i="19"/>
  <c r="M136" i="19"/>
  <c r="M107" i="19"/>
  <c r="M31" i="19"/>
  <c r="J102" i="19"/>
  <c r="J90" i="19"/>
  <c r="Q93" i="19"/>
  <c r="Q92" i="19"/>
  <c r="Q48" i="19"/>
  <c r="Q51" i="19" s="1"/>
  <c r="Q88" i="19"/>
  <c r="Q134" i="19"/>
  <c r="N136" i="19"/>
  <c r="N107" i="19"/>
  <c r="N31" i="19"/>
  <c r="I114" i="19"/>
  <c r="I142" i="19"/>
  <c r="I108" i="19"/>
  <c r="Q124" i="19"/>
  <c r="Q120" i="19"/>
  <c r="Q122" i="19"/>
  <c r="Q123" i="19"/>
  <c r="Q121" i="19"/>
  <c r="Q125" i="19"/>
  <c r="Q136" i="19"/>
  <c r="Q31" i="19"/>
  <c r="Q107" i="19"/>
  <c r="L136" i="19"/>
  <c r="L110" i="19"/>
  <c r="L107" i="19"/>
  <c r="Q112" i="19"/>
  <c r="Q100" i="19"/>
  <c r="Q99" i="19"/>
  <c r="I124" i="19"/>
  <c r="I120" i="19"/>
  <c r="I122" i="19"/>
  <c r="I123" i="19"/>
  <c r="I125" i="19"/>
  <c r="I121" i="19"/>
  <c r="I136" i="19"/>
  <c r="I107" i="19"/>
  <c r="H123" i="19"/>
  <c r="H125" i="19"/>
  <c r="H121" i="19"/>
  <c r="H122" i="19"/>
  <c r="H124" i="19"/>
  <c r="H120" i="19"/>
  <c r="O134" i="19"/>
  <c r="O92" i="19"/>
  <c r="O88" i="19"/>
  <c r="O48" i="19"/>
  <c r="O51" i="19" s="1"/>
  <c r="O93" i="19"/>
  <c r="L90" i="19"/>
  <c r="L102" i="19"/>
  <c r="L100" i="19"/>
  <c r="L99" i="19"/>
  <c r="O122" i="19"/>
  <c r="O124" i="19"/>
  <c r="O120" i="19"/>
  <c r="O125" i="19"/>
  <c r="O121" i="19"/>
  <c r="O123" i="19"/>
  <c r="K122" i="19"/>
  <c r="K124" i="19"/>
  <c r="K120" i="19"/>
  <c r="K125" i="19"/>
  <c r="K121" i="19"/>
  <c r="K123" i="19"/>
  <c r="M134" i="19"/>
  <c r="M93" i="19"/>
  <c r="M92" i="19"/>
  <c r="M48" i="19"/>
  <c r="M51" i="19" s="1"/>
  <c r="M88" i="19"/>
  <c r="J136" i="19"/>
  <c r="J107" i="19"/>
  <c r="J112" i="19"/>
  <c r="M124" i="19"/>
  <c r="M120" i="19"/>
  <c r="M122" i="19"/>
  <c r="M123" i="19"/>
  <c r="M125" i="19"/>
  <c r="M121" i="19"/>
  <c r="H100" i="19"/>
  <c r="H99" i="19"/>
  <c r="L134" i="19"/>
  <c r="L93" i="19"/>
  <c r="L92" i="19"/>
  <c r="L48" i="19"/>
  <c r="L51" i="19" s="1"/>
  <c r="L88" i="19"/>
  <c r="K100" i="19"/>
  <c r="K99" i="19"/>
  <c r="R135" i="19"/>
  <c r="R52" i="19"/>
  <c r="R90" i="19"/>
  <c r="R102" i="19"/>
  <c r="K134" i="19"/>
  <c r="K92" i="19"/>
  <c r="K88" i="19"/>
  <c r="K93" i="19"/>
  <c r="K48" i="19"/>
  <c r="K51" i="19" s="1"/>
  <c r="I100" i="19"/>
  <c r="I99" i="19"/>
  <c r="I110" i="19"/>
  <c r="I112" i="19"/>
  <c r="R99" i="19"/>
  <c r="R100" i="19"/>
  <c r="N135" i="19"/>
  <c r="N52" i="19"/>
  <c r="I134" i="19"/>
  <c r="I88" i="19"/>
  <c r="I48" i="19"/>
  <c r="I51" i="19" s="1"/>
  <c r="I93" i="19"/>
  <c r="I92" i="19"/>
  <c r="R125" i="19"/>
  <c r="R121" i="19"/>
  <c r="R123" i="19"/>
  <c r="R124" i="19"/>
  <c r="R120" i="19"/>
  <c r="R122" i="19"/>
  <c r="N112" i="19"/>
  <c r="I18" i="19"/>
  <c r="I31" i="19" s="1"/>
  <c r="Q114" i="19"/>
  <c r="I109" i="18"/>
  <c r="I115" i="18" s="1"/>
  <c r="I119" i="18" s="1"/>
  <c r="I127" i="18" s="1"/>
  <c r="I106" i="18"/>
  <c r="R107" i="18"/>
  <c r="R136" i="18"/>
  <c r="R31" i="18"/>
  <c r="K104" i="18"/>
  <c r="K103" i="18"/>
  <c r="K137" i="18"/>
  <c r="O137" i="18"/>
  <c r="O104" i="18"/>
  <c r="O4" i="18"/>
  <c r="O103" i="18"/>
  <c r="H4" i="18"/>
  <c r="H138" i="18"/>
  <c r="H110" i="18"/>
  <c r="N107" i="18"/>
  <c r="N136" i="18"/>
  <c r="N31" i="18"/>
  <c r="L138" i="18"/>
  <c r="L4" i="18"/>
  <c r="L110" i="18" s="1"/>
  <c r="P110" i="18"/>
  <c r="P4" i="18"/>
  <c r="P138" i="18"/>
  <c r="K111" i="18"/>
  <c r="K10" i="18"/>
  <c r="K4" i="18" s="1"/>
  <c r="I125" i="18"/>
  <c r="I121" i="18"/>
  <c r="I123" i="18"/>
  <c r="I122" i="18"/>
  <c r="I120" i="18"/>
  <c r="I124" i="18"/>
  <c r="Q125" i="18"/>
  <c r="Q121" i="18"/>
  <c r="Q123" i="18"/>
  <c r="Q122" i="18"/>
  <c r="Q120" i="18"/>
  <c r="Q124" i="18"/>
  <c r="J87" i="18"/>
  <c r="J95" i="18" s="1"/>
  <c r="J57" i="18"/>
  <c r="J73" i="18" s="1"/>
  <c r="O128" i="18"/>
  <c r="O117" i="18"/>
  <c r="O112" i="18"/>
  <c r="O116" i="18"/>
  <c r="J134" i="18"/>
  <c r="J93" i="18"/>
  <c r="Q89" i="18"/>
  <c r="J137" i="18"/>
  <c r="J103" i="18"/>
  <c r="N137" i="18"/>
  <c r="N103" i="18"/>
  <c r="R137" i="18"/>
  <c r="R103" i="18"/>
  <c r="O110" i="18"/>
  <c r="O138" i="18"/>
  <c r="J139" i="18"/>
  <c r="J97" i="18"/>
  <c r="J98" i="18" s="1"/>
  <c r="N139" i="18"/>
  <c r="N97" i="18"/>
  <c r="N98" i="18" s="1"/>
  <c r="R139" i="18"/>
  <c r="R97" i="18"/>
  <c r="R98" i="18" s="1"/>
  <c r="K142" i="18"/>
  <c r="K108" i="18"/>
  <c r="O142" i="18"/>
  <c r="O108" i="18"/>
  <c r="J113" i="18"/>
  <c r="J116" i="18"/>
  <c r="J89" i="18"/>
  <c r="J91" i="18"/>
  <c r="N113" i="18"/>
  <c r="N116" i="18"/>
  <c r="N128" i="18"/>
  <c r="N89" i="18"/>
  <c r="N91" i="18"/>
  <c r="R113" i="18"/>
  <c r="R116" i="18"/>
  <c r="R89" i="18"/>
  <c r="R91" i="18"/>
  <c r="K131" i="18"/>
  <c r="K133" i="18"/>
  <c r="I46" i="18"/>
  <c r="M46" i="18"/>
  <c r="Q46" i="18"/>
  <c r="J48" i="18"/>
  <c r="J51" i="18" s="1"/>
  <c r="N48" i="18"/>
  <c r="N51" i="18" s="1"/>
  <c r="R48" i="18"/>
  <c r="R51" i="18" s="1"/>
  <c r="I57" i="18"/>
  <c r="I73" i="18" s="1"/>
  <c r="J88" i="18"/>
  <c r="O89" i="18"/>
  <c r="I91" i="18"/>
  <c r="Q91" i="18"/>
  <c r="M97" i="18"/>
  <c r="M98" i="18" s="1"/>
  <c r="O114" i="18"/>
  <c r="N117" i="18"/>
  <c r="J128" i="18"/>
  <c r="L133" i="18"/>
  <c r="L131" i="18"/>
  <c r="L118" i="18"/>
  <c r="L105" i="18"/>
  <c r="R134" i="18"/>
  <c r="R93" i="18"/>
  <c r="H106" i="18"/>
  <c r="O113" i="18"/>
  <c r="L114" i="18"/>
  <c r="L142" i="18"/>
  <c r="L108" i="18"/>
  <c r="K128" i="18"/>
  <c r="K117" i="18"/>
  <c r="K116" i="18"/>
  <c r="P133" i="18"/>
  <c r="P131" i="18"/>
  <c r="P118" i="18"/>
  <c r="P105" i="18"/>
  <c r="N134" i="18"/>
  <c r="N93" i="18"/>
  <c r="M125" i="18"/>
  <c r="M121" i="18"/>
  <c r="M123" i="18"/>
  <c r="M122" i="18"/>
  <c r="H137" i="18"/>
  <c r="H103" i="18"/>
  <c r="L137" i="18"/>
  <c r="L103" i="18"/>
  <c r="P137" i="18"/>
  <c r="P103" i="18"/>
  <c r="I138" i="18"/>
  <c r="I110" i="18"/>
  <c r="M138" i="18"/>
  <c r="M110" i="18"/>
  <c r="Q138" i="18"/>
  <c r="Q110" i="18"/>
  <c r="K18" i="18"/>
  <c r="O18" i="18"/>
  <c r="H139" i="18"/>
  <c r="H97" i="18"/>
  <c r="H98" i="18" s="1"/>
  <c r="L139" i="18"/>
  <c r="L97" i="18"/>
  <c r="L98" i="18" s="1"/>
  <c r="P139" i="18"/>
  <c r="P97" i="18"/>
  <c r="P98" i="18" s="1"/>
  <c r="I27" i="18"/>
  <c r="M142" i="18"/>
  <c r="M108" i="18"/>
  <c r="M114" i="18"/>
  <c r="Q142" i="18"/>
  <c r="Q108" i="18"/>
  <c r="Q114" i="18"/>
  <c r="M31" i="18"/>
  <c r="Q31" i="18"/>
  <c r="K32" i="18"/>
  <c r="H128" i="18"/>
  <c r="H116" i="18"/>
  <c r="H113" i="18"/>
  <c r="H117" i="18"/>
  <c r="H112" i="18"/>
  <c r="H91" i="18"/>
  <c r="H89" i="18"/>
  <c r="L128" i="18"/>
  <c r="L116" i="18"/>
  <c r="L113" i="18"/>
  <c r="L91" i="18"/>
  <c r="L117" i="18"/>
  <c r="L112" i="18"/>
  <c r="L89" i="18"/>
  <c r="P128" i="18"/>
  <c r="P116" i="18"/>
  <c r="P113" i="18"/>
  <c r="P117" i="18"/>
  <c r="P112" i="18"/>
  <c r="P91" i="18"/>
  <c r="P89" i="18"/>
  <c r="I133" i="18"/>
  <c r="I131" i="18"/>
  <c r="I118" i="18"/>
  <c r="M133" i="18"/>
  <c r="M118" i="18"/>
  <c r="Q133" i="18"/>
  <c r="Q131" i="18"/>
  <c r="Q118" i="18"/>
  <c r="K46" i="18"/>
  <c r="O46" i="18"/>
  <c r="N88" i="18"/>
  <c r="K89" i="18"/>
  <c r="J92" i="18"/>
  <c r="R92" i="18"/>
  <c r="I97" i="18"/>
  <c r="I98" i="18" s="1"/>
  <c r="Q97" i="18"/>
  <c r="Q98" i="18" s="1"/>
  <c r="H104" i="18"/>
  <c r="P104" i="18"/>
  <c r="M105" i="18"/>
  <c r="M107" i="18"/>
  <c r="N112" i="18"/>
  <c r="K118" i="18"/>
  <c r="H114" i="18"/>
  <c r="H108" i="18"/>
  <c r="P114" i="18"/>
  <c r="P108" i="18"/>
  <c r="H133" i="18"/>
  <c r="H131" i="18"/>
  <c r="H118" i="18"/>
  <c r="H105" i="18"/>
  <c r="I89" i="18"/>
  <c r="K91" i="18"/>
  <c r="O97" i="18"/>
  <c r="O98" i="18" s="1"/>
  <c r="I137" i="18"/>
  <c r="I104" i="18"/>
  <c r="M137" i="18"/>
  <c r="M104" i="18"/>
  <c r="Q137" i="18"/>
  <c r="Q104" i="18"/>
  <c r="J10" i="18"/>
  <c r="N138" i="18"/>
  <c r="N110" i="18"/>
  <c r="R138" i="18"/>
  <c r="R110" i="18"/>
  <c r="H18" i="18"/>
  <c r="L18" i="18"/>
  <c r="P18" i="18"/>
  <c r="J142" i="18"/>
  <c r="N142" i="18"/>
  <c r="N114" i="18"/>
  <c r="R142" i="18"/>
  <c r="R114" i="18"/>
  <c r="I117" i="18"/>
  <c r="I112" i="18"/>
  <c r="I128" i="18"/>
  <c r="I113" i="18"/>
  <c r="M117" i="18"/>
  <c r="M112" i="18"/>
  <c r="M128" i="18"/>
  <c r="M113" i="18"/>
  <c r="Q117" i="18"/>
  <c r="Q112" i="18"/>
  <c r="Q128" i="18"/>
  <c r="Q113" i="18"/>
  <c r="J131" i="18"/>
  <c r="J118" i="18"/>
  <c r="J133" i="18"/>
  <c r="J105" i="18"/>
  <c r="N131" i="18"/>
  <c r="N118" i="18"/>
  <c r="N133" i="18"/>
  <c r="N105" i="18"/>
  <c r="R131" i="18"/>
  <c r="R118" i="18"/>
  <c r="R133" i="18"/>
  <c r="R105" i="18"/>
  <c r="H46" i="18"/>
  <c r="L46" i="18"/>
  <c r="P46" i="18"/>
  <c r="M89" i="18"/>
  <c r="O91" i="18"/>
  <c r="K97" i="18"/>
  <c r="K98" i="18" s="1"/>
  <c r="M103" i="18"/>
  <c r="J104" i="18"/>
  <c r="R104" i="18"/>
  <c r="O105" i="18"/>
  <c r="Q107" i="18"/>
  <c r="R112" i="18"/>
  <c r="J117" i="18"/>
  <c r="O118" i="18"/>
  <c r="M124" i="18"/>
  <c r="O133" i="18"/>
  <c r="P142" i="18"/>
  <c r="R141" i="17"/>
  <c r="Q141" i="17"/>
  <c r="P141" i="17"/>
  <c r="O141" i="17"/>
  <c r="N141" i="17"/>
  <c r="M141" i="17"/>
  <c r="L141" i="17"/>
  <c r="K141" i="17"/>
  <c r="J141" i="17"/>
  <c r="I141" i="17"/>
  <c r="H141" i="17"/>
  <c r="R140" i="17"/>
  <c r="Q140" i="17"/>
  <c r="P140" i="17"/>
  <c r="O140" i="17"/>
  <c r="N140" i="17"/>
  <c r="M140" i="17"/>
  <c r="L140" i="17"/>
  <c r="K140" i="17"/>
  <c r="J140" i="17"/>
  <c r="I140" i="17"/>
  <c r="H140" i="17"/>
  <c r="P138" i="17"/>
  <c r="L138" i="17"/>
  <c r="H138" i="17"/>
  <c r="K137" i="17"/>
  <c r="R134" i="17"/>
  <c r="N133" i="17"/>
  <c r="K133" i="17"/>
  <c r="R130" i="17"/>
  <c r="Q130" i="17"/>
  <c r="P130" i="17"/>
  <c r="O130" i="17"/>
  <c r="N130" i="17"/>
  <c r="M130" i="17"/>
  <c r="L130" i="17"/>
  <c r="K130" i="17"/>
  <c r="J130" i="17"/>
  <c r="I130" i="17"/>
  <c r="H130" i="17"/>
  <c r="R129" i="17"/>
  <c r="Q129" i="17"/>
  <c r="P129" i="17"/>
  <c r="O129" i="17"/>
  <c r="N129" i="17"/>
  <c r="M129" i="17"/>
  <c r="L129" i="17"/>
  <c r="K129" i="17"/>
  <c r="J129" i="17"/>
  <c r="I129" i="17"/>
  <c r="H129" i="17"/>
  <c r="P117" i="17"/>
  <c r="L117" i="17"/>
  <c r="H117" i="17"/>
  <c r="L116" i="17"/>
  <c r="L125" i="17" s="1"/>
  <c r="E114" i="17"/>
  <c r="R111" i="17"/>
  <c r="Q111" i="17"/>
  <c r="P111" i="17"/>
  <c r="O111" i="17"/>
  <c r="N111" i="17"/>
  <c r="M111" i="17"/>
  <c r="L111" i="17"/>
  <c r="K111" i="17"/>
  <c r="J111" i="17"/>
  <c r="I111" i="17"/>
  <c r="H111" i="17"/>
  <c r="K110" i="17"/>
  <c r="Q108" i="17"/>
  <c r="L108" i="17"/>
  <c r="R105" i="17"/>
  <c r="M105" i="17"/>
  <c r="O104" i="17"/>
  <c r="K104" i="17"/>
  <c r="O103" i="17"/>
  <c r="N103" i="17"/>
  <c r="K103" i="17"/>
  <c r="R101" i="17"/>
  <c r="Q101" i="17"/>
  <c r="P101" i="17"/>
  <c r="O101" i="17"/>
  <c r="N101" i="17"/>
  <c r="M101" i="17"/>
  <c r="L101" i="17"/>
  <c r="K101" i="17"/>
  <c r="J101" i="17"/>
  <c r="I101" i="17"/>
  <c r="H101" i="17"/>
  <c r="R99" i="17"/>
  <c r="J99" i="17"/>
  <c r="R98" i="17"/>
  <c r="N98" i="17"/>
  <c r="N99" i="17" s="1"/>
  <c r="J98" i="17"/>
  <c r="R97" i="17"/>
  <c r="N97" i="17"/>
  <c r="L97" i="17"/>
  <c r="L98" i="17" s="1"/>
  <c r="L99" i="17" s="1"/>
  <c r="J97" i="17"/>
  <c r="H97" i="17"/>
  <c r="H98" i="17" s="1"/>
  <c r="H99" i="17" s="1"/>
  <c r="R96" i="17"/>
  <c r="Q96" i="17"/>
  <c r="P96" i="17"/>
  <c r="O96" i="17"/>
  <c r="N96" i="17"/>
  <c r="M96" i="17"/>
  <c r="L96" i="17"/>
  <c r="K96" i="17"/>
  <c r="J96" i="17"/>
  <c r="I96" i="17"/>
  <c r="H96" i="17"/>
  <c r="R94" i="17"/>
  <c r="Q94" i="17"/>
  <c r="P94" i="17"/>
  <c r="O94" i="17"/>
  <c r="N94" i="17"/>
  <c r="M94" i="17"/>
  <c r="L94" i="17"/>
  <c r="K94" i="17"/>
  <c r="J94" i="17"/>
  <c r="I94" i="17"/>
  <c r="H94" i="17"/>
  <c r="R92" i="17"/>
  <c r="R91" i="17"/>
  <c r="O91" i="17"/>
  <c r="M89" i="17"/>
  <c r="M90" i="17" s="1"/>
  <c r="H87" i="17"/>
  <c r="H95" i="17" s="1"/>
  <c r="R85" i="17"/>
  <c r="Q85" i="17"/>
  <c r="P85" i="17"/>
  <c r="O85" i="17"/>
  <c r="N85" i="17"/>
  <c r="M85" i="17"/>
  <c r="L85" i="17"/>
  <c r="K85" i="17"/>
  <c r="J85" i="17"/>
  <c r="I85" i="17"/>
  <c r="H85" i="17"/>
  <c r="H73" i="17"/>
  <c r="R71" i="17"/>
  <c r="R88" i="17" s="1"/>
  <c r="Q71" i="17"/>
  <c r="P71" i="17"/>
  <c r="O71" i="17"/>
  <c r="N71" i="17"/>
  <c r="M71" i="17"/>
  <c r="L71" i="17"/>
  <c r="K71" i="17"/>
  <c r="J71" i="17"/>
  <c r="I71" i="17"/>
  <c r="H71" i="17"/>
  <c r="H57" i="17"/>
  <c r="R51" i="17"/>
  <c r="R135" i="17" s="1"/>
  <c r="R48" i="17"/>
  <c r="N46" i="17"/>
  <c r="I46" i="17"/>
  <c r="I48" i="17" s="1"/>
  <c r="I51" i="17" s="1"/>
  <c r="R41" i="17"/>
  <c r="R132" i="17" s="1"/>
  <c r="Q41" i="17"/>
  <c r="Q132" i="17" s="1"/>
  <c r="P41" i="17"/>
  <c r="P132" i="17" s="1"/>
  <c r="O41" i="17"/>
  <c r="O132" i="17" s="1"/>
  <c r="N41" i="17"/>
  <c r="M41" i="17"/>
  <c r="M132" i="17" s="1"/>
  <c r="L41" i="17"/>
  <c r="L132" i="17" s="1"/>
  <c r="K41" i="17"/>
  <c r="K132" i="17" s="1"/>
  <c r="J41" i="17"/>
  <c r="J132" i="17" s="1"/>
  <c r="I41" i="17"/>
  <c r="H41" i="17"/>
  <c r="H132" i="17" s="1"/>
  <c r="R38" i="17"/>
  <c r="Q38" i="17"/>
  <c r="P38" i="17"/>
  <c r="O38" i="17"/>
  <c r="M38" i="17"/>
  <c r="M133" i="17" s="1"/>
  <c r="L38" i="17"/>
  <c r="K38" i="17"/>
  <c r="J38" i="17"/>
  <c r="I38" i="17"/>
  <c r="I133" i="17" s="1"/>
  <c r="H38" i="17"/>
  <c r="R33" i="17"/>
  <c r="Q33" i="17"/>
  <c r="Q112" i="17" s="1"/>
  <c r="P33" i="17"/>
  <c r="O33" i="17"/>
  <c r="N33" i="17"/>
  <c r="M33" i="17"/>
  <c r="L33" i="17"/>
  <c r="K33" i="17"/>
  <c r="J33" i="17"/>
  <c r="I33" i="17"/>
  <c r="H33" i="17"/>
  <c r="I32" i="17"/>
  <c r="J32" i="17" s="1"/>
  <c r="R27" i="17"/>
  <c r="Q27" i="17"/>
  <c r="Q142" i="17" s="1"/>
  <c r="P27" i="17"/>
  <c r="O27" i="17"/>
  <c r="N27" i="17"/>
  <c r="M27" i="17"/>
  <c r="L27" i="17"/>
  <c r="L142" i="17" s="1"/>
  <c r="K27" i="17"/>
  <c r="J27" i="17"/>
  <c r="I27" i="17"/>
  <c r="I142" i="17" s="1"/>
  <c r="H27" i="17"/>
  <c r="H142" i="17" s="1"/>
  <c r="R19" i="17"/>
  <c r="R139" i="17" s="1"/>
  <c r="Q19" i="17"/>
  <c r="Q18" i="17" s="1"/>
  <c r="P19" i="17"/>
  <c r="P139" i="17" s="1"/>
  <c r="O19" i="17"/>
  <c r="N19" i="17"/>
  <c r="N139" i="17" s="1"/>
  <c r="M19" i="17"/>
  <c r="M18" i="17" s="1"/>
  <c r="M31" i="17" s="1"/>
  <c r="L19" i="17"/>
  <c r="L139" i="17" s="1"/>
  <c r="K19" i="17"/>
  <c r="J19" i="17"/>
  <c r="J139" i="17" s="1"/>
  <c r="I19" i="17"/>
  <c r="I97" i="17" s="1"/>
  <c r="I98" i="17" s="1"/>
  <c r="H19" i="17"/>
  <c r="H139" i="17" s="1"/>
  <c r="P18" i="17"/>
  <c r="O18" i="17"/>
  <c r="O31" i="17" s="1"/>
  <c r="L18" i="17"/>
  <c r="K18" i="17"/>
  <c r="J18" i="17"/>
  <c r="R10" i="17"/>
  <c r="Q10" i="17"/>
  <c r="P10" i="17"/>
  <c r="O10" i="17"/>
  <c r="N10" i="17"/>
  <c r="N138" i="17" s="1"/>
  <c r="M10" i="17"/>
  <c r="L10" i="17"/>
  <c r="K10" i="17"/>
  <c r="K138" i="17" s="1"/>
  <c r="J10" i="17"/>
  <c r="I10" i="17"/>
  <c r="I4" i="17" s="1"/>
  <c r="H10" i="17"/>
  <c r="R5" i="17"/>
  <c r="Q5" i="17"/>
  <c r="P5" i="17"/>
  <c r="O5" i="17"/>
  <c r="O137" i="17" s="1"/>
  <c r="N5" i="17"/>
  <c r="M5" i="17"/>
  <c r="L5" i="17"/>
  <c r="K5" i="17"/>
  <c r="J5" i="17"/>
  <c r="I5" i="17"/>
  <c r="H5" i="17"/>
  <c r="H104" i="17" s="1"/>
  <c r="Q4" i="17"/>
  <c r="O4" i="17"/>
  <c r="O136" i="17" s="1"/>
  <c r="M4" i="17"/>
  <c r="L4" i="17"/>
  <c r="K4" i="17"/>
  <c r="H4" i="17"/>
  <c r="Q106" i="26" l="1"/>
  <c r="Q109" i="26"/>
  <c r="Q115" i="26" s="1"/>
  <c r="Q119" i="26" s="1"/>
  <c r="Q127" i="26" s="1"/>
  <c r="R87" i="26"/>
  <c r="R95" i="26" s="1"/>
  <c r="R57" i="26"/>
  <c r="R73" i="26" s="1"/>
  <c r="Q87" i="25"/>
  <c r="Q95" i="25" s="1"/>
  <c r="Q57" i="25"/>
  <c r="Q73" i="25" s="1"/>
  <c r="R32" i="25"/>
  <c r="P109" i="25"/>
  <c r="P115" i="25" s="1"/>
  <c r="P119" i="25" s="1"/>
  <c r="P127" i="25" s="1"/>
  <c r="P106" i="25"/>
  <c r="P57" i="24"/>
  <c r="P73" i="24" s="1"/>
  <c r="P87" i="24"/>
  <c r="P95" i="24" s="1"/>
  <c r="Q32" i="24"/>
  <c r="O106" i="24"/>
  <c r="O109" i="24"/>
  <c r="O115" i="24" s="1"/>
  <c r="O119" i="24" s="1"/>
  <c r="O127" i="24" s="1"/>
  <c r="N106" i="23"/>
  <c r="N109" i="23"/>
  <c r="N115" i="23" s="1"/>
  <c r="N119" i="23" s="1"/>
  <c r="N127" i="23" s="1"/>
  <c r="O87" i="23"/>
  <c r="O95" i="23" s="1"/>
  <c r="P32" i="23"/>
  <c r="O57" i="23"/>
  <c r="O73" i="23" s="1"/>
  <c r="N109" i="22"/>
  <c r="N115" i="22" s="1"/>
  <c r="N119" i="22" s="1"/>
  <c r="N127" i="22" s="1"/>
  <c r="N106" i="22"/>
  <c r="O87" i="22"/>
  <c r="O95" i="22" s="1"/>
  <c r="O57" i="22"/>
  <c r="O73" i="22" s="1"/>
  <c r="P32" i="22"/>
  <c r="R111" i="21"/>
  <c r="R10" i="21"/>
  <c r="R113" i="21"/>
  <c r="P107" i="21"/>
  <c r="P136" i="21"/>
  <c r="P31" i="21"/>
  <c r="P112" i="21"/>
  <c r="P114" i="21"/>
  <c r="R142" i="21"/>
  <c r="R108" i="21"/>
  <c r="R18" i="21"/>
  <c r="Q138" i="21"/>
  <c r="Q110" i="21"/>
  <c r="Q4" i="21"/>
  <c r="O87" i="21"/>
  <c r="O95" i="21" s="1"/>
  <c r="O57" i="21"/>
  <c r="O73" i="21" s="1"/>
  <c r="P32" i="21"/>
  <c r="P110" i="21"/>
  <c r="N109" i="21"/>
  <c r="N115" i="21" s="1"/>
  <c r="N119" i="21" s="1"/>
  <c r="N127" i="21" s="1"/>
  <c r="N106" i="21"/>
  <c r="K106" i="20"/>
  <c r="K109" i="20"/>
  <c r="K115" i="20" s="1"/>
  <c r="K119" i="20" s="1"/>
  <c r="K127" i="20" s="1"/>
  <c r="L57" i="20"/>
  <c r="L73" i="20" s="1"/>
  <c r="L87" i="20"/>
  <c r="L95" i="20" s="1"/>
  <c r="M32" i="20"/>
  <c r="K135" i="19"/>
  <c r="K52" i="19"/>
  <c r="L135" i="19"/>
  <c r="L52" i="19"/>
  <c r="L57" i="19"/>
  <c r="L73" i="19" s="1"/>
  <c r="L87" i="19"/>
  <c r="L95" i="19" s="1"/>
  <c r="M32" i="19"/>
  <c r="H135" i="19"/>
  <c r="H52" i="19"/>
  <c r="I135" i="19"/>
  <c r="I52" i="19"/>
  <c r="M135" i="19"/>
  <c r="M52" i="19"/>
  <c r="Q135" i="19"/>
  <c r="Q52" i="19"/>
  <c r="J142" i="19"/>
  <c r="J114" i="19"/>
  <c r="J108" i="19"/>
  <c r="J18" i="19"/>
  <c r="J31" i="19" s="1"/>
  <c r="O135" i="19"/>
  <c r="O52" i="19"/>
  <c r="K109" i="19"/>
  <c r="K115" i="19" s="1"/>
  <c r="K119" i="19" s="1"/>
  <c r="K127" i="19" s="1"/>
  <c r="K106" i="19"/>
  <c r="P135" i="19"/>
  <c r="P52" i="19"/>
  <c r="K94" i="19"/>
  <c r="K27" i="19"/>
  <c r="L29" i="19"/>
  <c r="K136" i="18"/>
  <c r="K107" i="18"/>
  <c r="K31" i="18"/>
  <c r="K112" i="18"/>
  <c r="K114" i="18"/>
  <c r="J138" i="18"/>
  <c r="J110" i="18"/>
  <c r="J4" i="18"/>
  <c r="Q100" i="18"/>
  <c r="Q99" i="18"/>
  <c r="K100" i="18"/>
  <c r="K99" i="18"/>
  <c r="L93" i="18"/>
  <c r="L92" i="18"/>
  <c r="L48" i="18"/>
  <c r="L51" i="18" s="1"/>
  <c r="L88" i="18"/>
  <c r="L134" i="18"/>
  <c r="I102" i="18"/>
  <c r="I90" i="18"/>
  <c r="I100" i="18"/>
  <c r="I99" i="18"/>
  <c r="P124" i="18"/>
  <c r="P120" i="18"/>
  <c r="P122" i="18"/>
  <c r="P121" i="18"/>
  <c r="P125" i="18"/>
  <c r="P123" i="18"/>
  <c r="K87" i="18"/>
  <c r="K95" i="18" s="1"/>
  <c r="L32" i="18"/>
  <c r="K57" i="18"/>
  <c r="K73" i="18" s="1"/>
  <c r="Q134" i="18"/>
  <c r="Q92" i="18"/>
  <c r="Q88" i="18"/>
  <c r="Q93" i="18"/>
  <c r="Q48" i="18"/>
  <c r="Q51" i="18" s="1"/>
  <c r="N125" i="18"/>
  <c r="N122" i="18"/>
  <c r="N124" i="18"/>
  <c r="N120" i="18"/>
  <c r="N123" i="18"/>
  <c r="N121" i="18"/>
  <c r="J122" i="18"/>
  <c r="J124" i="18"/>
  <c r="J120" i="18"/>
  <c r="J123" i="18"/>
  <c r="J121" i="18"/>
  <c r="J125" i="18"/>
  <c r="N99" i="18"/>
  <c r="N100" i="18"/>
  <c r="Q102" i="18"/>
  <c r="Q90" i="18"/>
  <c r="J109" i="18"/>
  <c r="J115" i="18" s="1"/>
  <c r="J119" i="18" s="1"/>
  <c r="J127" i="18" s="1"/>
  <c r="J106" i="18"/>
  <c r="P136" i="18"/>
  <c r="P107" i="18"/>
  <c r="P31" i="18"/>
  <c r="O136" i="18"/>
  <c r="O107" i="18"/>
  <c r="O31" i="18"/>
  <c r="O134" i="18"/>
  <c r="O92" i="18"/>
  <c r="O88" i="18"/>
  <c r="O48" i="18"/>
  <c r="O51" i="18" s="1"/>
  <c r="O93" i="18"/>
  <c r="L99" i="18"/>
  <c r="L100" i="18"/>
  <c r="R135" i="18"/>
  <c r="R52" i="18"/>
  <c r="K110" i="18"/>
  <c r="K138" i="18"/>
  <c r="H134" i="18"/>
  <c r="H93" i="18"/>
  <c r="H88" i="18"/>
  <c r="H48" i="18"/>
  <c r="H51" i="18" s="1"/>
  <c r="H92" i="18"/>
  <c r="H102" i="18"/>
  <c r="H90" i="18"/>
  <c r="K123" i="18"/>
  <c r="K125" i="18"/>
  <c r="K121" i="18"/>
  <c r="K124" i="18"/>
  <c r="K120" i="18"/>
  <c r="K122" i="18"/>
  <c r="M134" i="18"/>
  <c r="M92" i="18"/>
  <c r="M88" i="18"/>
  <c r="M48" i="18"/>
  <c r="M51" i="18" s="1"/>
  <c r="M93" i="18"/>
  <c r="M102" i="18"/>
  <c r="M90" i="18"/>
  <c r="O100" i="18"/>
  <c r="O99" i="18"/>
  <c r="K134" i="18"/>
  <c r="K92" i="18"/>
  <c r="K88" i="18"/>
  <c r="K93" i="18"/>
  <c r="K48" i="18"/>
  <c r="K51" i="18" s="1"/>
  <c r="L102" i="18"/>
  <c r="L90" i="18"/>
  <c r="H124" i="18"/>
  <c r="H120" i="18"/>
  <c r="H122" i="18"/>
  <c r="H125" i="18"/>
  <c r="H121" i="18"/>
  <c r="H123" i="18"/>
  <c r="I142" i="18"/>
  <c r="I108" i="18"/>
  <c r="I114" i="18"/>
  <c r="I18" i="18"/>
  <c r="I31" i="18" s="1"/>
  <c r="O102" i="18"/>
  <c r="O90" i="18"/>
  <c r="N135" i="18"/>
  <c r="N52" i="18"/>
  <c r="I134" i="18"/>
  <c r="I92" i="18"/>
  <c r="I88" i="18"/>
  <c r="I93" i="18"/>
  <c r="I48" i="18"/>
  <c r="I51" i="18" s="1"/>
  <c r="R90" i="18"/>
  <c r="R102" i="18"/>
  <c r="N102" i="18"/>
  <c r="N90" i="18"/>
  <c r="R99" i="18"/>
  <c r="R100" i="18"/>
  <c r="J99" i="18"/>
  <c r="J100" i="18"/>
  <c r="H136" i="18"/>
  <c r="H107" i="18"/>
  <c r="H31" i="18"/>
  <c r="P134" i="18"/>
  <c r="P93" i="18"/>
  <c r="P88" i="18"/>
  <c r="P92" i="18"/>
  <c r="P48" i="18"/>
  <c r="P51" i="18" s="1"/>
  <c r="K102" i="18"/>
  <c r="K90" i="18"/>
  <c r="P102" i="18"/>
  <c r="P90" i="18"/>
  <c r="L124" i="18"/>
  <c r="L120" i="18"/>
  <c r="L122" i="18"/>
  <c r="L121" i="18"/>
  <c r="L125" i="18"/>
  <c r="L123" i="18"/>
  <c r="P99" i="18"/>
  <c r="P100" i="18"/>
  <c r="H99" i="18"/>
  <c r="H100" i="18"/>
  <c r="M100" i="18"/>
  <c r="M99" i="18"/>
  <c r="J135" i="18"/>
  <c r="J52" i="18"/>
  <c r="R125" i="18"/>
  <c r="R122" i="18"/>
  <c r="R124" i="18"/>
  <c r="R120" i="18"/>
  <c r="R123" i="18"/>
  <c r="R121" i="18"/>
  <c r="J90" i="18"/>
  <c r="J102" i="18"/>
  <c r="O123" i="18"/>
  <c r="O125" i="18"/>
  <c r="O121" i="18"/>
  <c r="O120" i="18"/>
  <c r="O124" i="18"/>
  <c r="O122" i="18"/>
  <c r="L136" i="18"/>
  <c r="L107" i="18"/>
  <c r="L31" i="18"/>
  <c r="I107" i="17"/>
  <c r="I136" i="17"/>
  <c r="I114" i="17"/>
  <c r="I135" i="17"/>
  <c r="I52" i="17"/>
  <c r="I99" i="17"/>
  <c r="K32" i="17"/>
  <c r="J87" i="17"/>
  <c r="J95" i="17" s="1"/>
  <c r="J57" i="17"/>
  <c r="J73" i="17" s="1"/>
  <c r="L136" i="17"/>
  <c r="L31" i="17"/>
  <c r="N142" i="17"/>
  <c r="N108" i="17"/>
  <c r="R142" i="17"/>
  <c r="R108" i="17"/>
  <c r="R52" i="17"/>
  <c r="M107" i="17"/>
  <c r="M136" i="17"/>
  <c r="L137" i="17"/>
  <c r="L103" i="17"/>
  <c r="P137" i="17"/>
  <c r="P103" i="17"/>
  <c r="M138" i="17"/>
  <c r="M110" i="17"/>
  <c r="I116" i="17"/>
  <c r="I128" i="17"/>
  <c r="I91" i="17"/>
  <c r="M116" i="17"/>
  <c r="M128" i="17"/>
  <c r="M117" i="17"/>
  <c r="M113" i="17"/>
  <c r="M91" i="17"/>
  <c r="M112" i="17"/>
  <c r="J131" i="17"/>
  <c r="J133" i="17"/>
  <c r="J118" i="17"/>
  <c r="J105" i="17"/>
  <c r="O131" i="17"/>
  <c r="O118" i="17"/>
  <c r="O105" i="17"/>
  <c r="O133" i="17"/>
  <c r="J46" i="17"/>
  <c r="I137" i="17"/>
  <c r="I103" i="17"/>
  <c r="I104" i="17"/>
  <c r="M137" i="17"/>
  <c r="M103" i="17"/>
  <c r="M104" i="17"/>
  <c r="Q137" i="17"/>
  <c r="Q103" i="17"/>
  <c r="Q104" i="17"/>
  <c r="J138" i="17"/>
  <c r="J117" i="17"/>
  <c r="J116" i="17"/>
  <c r="J89" i="17"/>
  <c r="J128" i="17"/>
  <c r="J113" i="17"/>
  <c r="N117" i="17"/>
  <c r="N116" i="17"/>
  <c r="N89" i="17"/>
  <c r="N128" i="17"/>
  <c r="R117" i="17"/>
  <c r="R112" i="17"/>
  <c r="R116" i="17"/>
  <c r="R89" i="17"/>
  <c r="R113" i="17"/>
  <c r="R93" i="17"/>
  <c r="K131" i="17"/>
  <c r="K118" i="17"/>
  <c r="K105" i="17"/>
  <c r="P133" i="17"/>
  <c r="P131" i="17"/>
  <c r="P118" i="17"/>
  <c r="P105" i="17"/>
  <c r="P91" i="17"/>
  <c r="I132" i="17"/>
  <c r="I118" i="17"/>
  <c r="K46" i="17"/>
  <c r="Q46" i="17"/>
  <c r="H106" i="17"/>
  <c r="H109" i="17"/>
  <c r="H115" i="17" s="1"/>
  <c r="H119" i="17" s="1"/>
  <c r="H127" i="17" s="1"/>
  <c r="I89" i="17"/>
  <c r="I100" i="17" s="1"/>
  <c r="Q89" i="17"/>
  <c r="K91" i="17"/>
  <c r="L104" i="17"/>
  <c r="I105" i="17"/>
  <c r="O107" i="17"/>
  <c r="I112" i="17"/>
  <c r="N113" i="17"/>
  <c r="I117" i="17"/>
  <c r="M118" i="17"/>
  <c r="L121" i="17"/>
  <c r="R128" i="17"/>
  <c r="Q131" i="17"/>
  <c r="Q139" i="17"/>
  <c r="K136" i="17"/>
  <c r="K107" i="17"/>
  <c r="P4" i="17"/>
  <c r="J137" i="17"/>
  <c r="J104" i="17"/>
  <c r="J4" i="17"/>
  <c r="J112" i="17" s="1"/>
  <c r="N137" i="17"/>
  <c r="N104" i="17"/>
  <c r="N4" i="17"/>
  <c r="R137" i="17"/>
  <c r="R104" i="17"/>
  <c r="R4" i="17"/>
  <c r="O138" i="17"/>
  <c r="O110" i="17"/>
  <c r="H18" i="17"/>
  <c r="H31" i="17" s="1"/>
  <c r="N18" i="17"/>
  <c r="M142" i="17"/>
  <c r="M114" i="17"/>
  <c r="M108" i="17"/>
  <c r="K31" i="17"/>
  <c r="K113" i="17"/>
  <c r="K128" i="17"/>
  <c r="K117" i="17"/>
  <c r="K112" i="17"/>
  <c r="K89" i="17"/>
  <c r="O113" i="17"/>
  <c r="O128" i="17"/>
  <c r="O117" i="17"/>
  <c r="O112" i="17"/>
  <c r="O89" i="17"/>
  <c r="O116" i="17"/>
  <c r="H133" i="17"/>
  <c r="H131" i="17"/>
  <c r="H118" i="17"/>
  <c r="H91" i="17"/>
  <c r="L133" i="17"/>
  <c r="L131" i="17"/>
  <c r="L118" i="17"/>
  <c r="L91" i="17"/>
  <c r="Q133" i="17"/>
  <c r="Q105" i="17"/>
  <c r="Q118" i="17"/>
  <c r="N131" i="17"/>
  <c r="N132" i="17"/>
  <c r="N105" i="17"/>
  <c r="M46" i="17"/>
  <c r="L89" i="17"/>
  <c r="L100" i="17" s="1"/>
  <c r="N91" i="17"/>
  <c r="P97" i="17"/>
  <c r="P98" i="17" s="1"/>
  <c r="J100" i="17"/>
  <c r="R100" i="17"/>
  <c r="M102" i="17"/>
  <c r="J103" i="17"/>
  <c r="R103" i="17"/>
  <c r="L105" i="17"/>
  <c r="I108" i="17"/>
  <c r="L112" i="17"/>
  <c r="Q113" i="17"/>
  <c r="Q114" i="17"/>
  <c r="K116" i="17"/>
  <c r="N118" i="17"/>
  <c r="I139" i="17"/>
  <c r="I18" i="17"/>
  <c r="I31" i="17" s="1"/>
  <c r="J142" i="17"/>
  <c r="J108" i="17"/>
  <c r="I134" i="17"/>
  <c r="I92" i="17"/>
  <c r="I88" i="17"/>
  <c r="Q97" i="17"/>
  <c r="Q98" i="17" s="1"/>
  <c r="P104" i="17"/>
  <c r="R114" i="17"/>
  <c r="L123" i="17"/>
  <c r="L124" i="17"/>
  <c r="L122" i="17"/>
  <c r="L120" i="17"/>
  <c r="Q107" i="17"/>
  <c r="Q136" i="17"/>
  <c r="Q31" i="17"/>
  <c r="I87" i="17"/>
  <c r="I95" i="17" s="1"/>
  <c r="I57" i="17"/>
  <c r="I73" i="17" s="1"/>
  <c r="N134" i="17"/>
  <c r="N92" i="17"/>
  <c r="N88" i="17"/>
  <c r="N48" i="17"/>
  <c r="N51" i="17" s="1"/>
  <c r="N93" i="17"/>
  <c r="H136" i="17"/>
  <c r="H107" i="17"/>
  <c r="H137" i="17"/>
  <c r="H103" i="17"/>
  <c r="I138" i="17"/>
  <c r="I110" i="17"/>
  <c r="Q138" i="17"/>
  <c r="Q110" i="17"/>
  <c r="Q116" i="17"/>
  <c r="Q128" i="17"/>
  <c r="Q91" i="17"/>
  <c r="O46" i="17"/>
  <c r="H89" i="17"/>
  <c r="P89" i="17"/>
  <c r="J91" i="17"/>
  <c r="I93" i="17"/>
  <c r="M97" i="17"/>
  <c r="M98" i="17" s="1"/>
  <c r="N100" i="17"/>
  <c r="H105" i="17"/>
  <c r="L107" i="17"/>
  <c r="I113" i="17"/>
  <c r="Q117" i="17"/>
  <c r="M131" i="17"/>
  <c r="M139" i="17"/>
  <c r="R138" i="17"/>
  <c r="R110" i="17"/>
  <c r="R18" i="17"/>
  <c r="K139" i="17"/>
  <c r="K97" i="17"/>
  <c r="K98" i="17" s="1"/>
  <c r="O139" i="17"/>
  <c r="O97" i="17"/>
  <c r="O98" i="17" s="1"/>
  <c r="H114" i="17"/>
  <c r="H108" i="17"/>
  <c r="L114" i="17"/>
  <c r="P114" i="17"/>
  <c r="P108" i="17"/>
  <c r="P142" i="17"/>
  <c r="H110" i="17"/>
  <c r="L110" i="17"/>
  <c r="K114" i="17"/>
  <c r="K142" i="17"/>
  <c r="K108" i="17"/>
  <c r="O114" i="17"/>
  <c r="O142" i="17"/>
  <c r="O108" i="17"/>
  <c r="H128" i="17"/>
  <c r="H113" i="17"/>
  <c r="L128" i="17"/>
  <c r="L113" i="17"/>
  <c r="P128" i="17"/>
  <c r="P113" i="17"/>
  <c r="R131" i="17"/>
  <c r="R133" i="17"/>
  <c r="H46" i="17"/>
  <c r="L46" i="17"/>
  <c r="P46" i="17"/>
  <c r="H112" i="17"/>
  <c r="P112" i="17"/>
  <c r="H116" i="17"/>
  <c r="P116" i="17"/>
  <c r="R118" i="17"/>
  <c r="I131" i="17"/>
  <c r="R141" i="16"/>
  <c r="Q141" i="16"/>
  <c r="P141" i="16"/>
  <c r="M141" i="16"/>
  <c r="R140" i="16"/>
  <c r="Q140" i="16"/>
  <c r="P140" i="16"/>
  <c r="O140" i="16"/>
  <c r="N140" i="16"/>
  <c r="M140" i="16"/>
  <c r="L140" i="16"/>
  <c r="K140" i="16"/>
  <c r="J140" i="16"/>
  <c r="I140" i="16"/>
  <c r="H140" i="16"/>
  <c r="O137" i="16"/>
  <c r="M130" i="16"/>
  <c r="L130" i="16"/>
  <c r="K130" i="16"/>
  <c r="J130" i="16"/>
  <c r="I130" i="16"/>
  <c r="H130" i="16"/>
  <c r="M129" i="16"/>
  <c r="L129" i="16"/>
  <c r="K129" i="16"/>
  <c r="J129" i="16"/>
  <c r="I129" i="16"/>
  <c r="H129" i="16"/>
  <c r="I116" i="16"/>
  <c r="E114" i="16"/>
  <c r="K113" i="16"/>
  <c r="M111" i="16"/>
  <c r="L111" i="16"/>
  <c r="K111" i="16"/>
  <c r="J111" i="16"/>
  <c r="I111" i="16"/>
  <c r="I108" i="16"/>
  <c r="Q104" i="16"/>
  <c r="M104" i="16"/>
  <c r="I104" i="16"/>
  <c r="R101" i="16"/>
  <c r="P101" i="16"/>
  <c r="O101" i="16"/>
  <c r="N101" i="16"/>
  <c r="M101" i="16"/>
  <c r="L101" i="16"/>
  <c r="K101" i="16"/>
  <c r="J101" i="16"/>
  <c r="I101" i="16"/>
  <c r="H101" i="16"/>
  <c r="R97" i="16"/>
  <c r="R98" i="16" s="1"/>
  <c r="R96" i="16"/>
  <c r="Q96" i="16"/>
  <c r="P96" i="16"/>
  <c r="O96" i="16"/>
  <c r="N96" i="16"/>
  <c r="M96" i="16"/>
  <c r="L96" i="16"/>
  <c r="K96" i="16"/>
  <c r="J96" i="16"/>
  <c r="I96" i="16"/>
  <c r="H96" i="16"/>
  <c r="H95" i="16"/>
  <c r="M94" i="16"/>
  <c r="L94" i="16"/>
  <c r="K94" i="16"/>
  <c r="J94" i="16"/>
  <c r="I94" i="16"/>
  <c r="H94" i="16"/>
  <c r="H87" i="16"/>
  <c r="R85" i="16"/>
  <c r="P85" i="16"/>
  <c r="O85" i="16"/>
  <c r="N85" i="16"/>
  <c r="M85" i="16"/>
  <c r="L85" i="16"/>
  <c r="K85" i="16"/>
  <c r="J85" i="16"/>
  <c r="I85" i="16"/>
  <c r="H85" i="16"/>
  <c r="Q79" i="16"/>
  <c r="Q101" i="16" s="1"/>
  <c r="R71" i="16"/>
  <c r="Q71" i="16"/>
  <c r="O71" i="16"/>
  <c r="N71" i="16"/>
  <c r="M71" i="16"/>
  <c r="L71" i="16"/>
  <c r="K71" i="16"/>
  <c r="J71" i="16"/>
  <c r="I71" i="16"/>
  <c r="H71" i="16"/>
  <c r="P58" i="16"/>
  <c r="O58" i="16"/>
  <c r="H57" i="16"/>
  <c r="H73" i="16" s="1"/>
  <c r="O45" i="16"/>
  <c r="P45" i="16" s="1"/>
  <c r="N43" i="16"/>
  <c r="P42" i="16"/>
  <c r="Q42" i="16" s="1"/>
  <c r="O42" i="16"/>
  <c r="N41" i="16"/>
  <c r="N132" i="16" s="1"/>
  <c r="M41" i="16"/>
  <c r="M132" i="16" s="1"/>
  <c r="L41" i="16"/>
  <c r="L132" i="16" s="1"/>
  <c r="K41" i="16"/>
  <c r="K132" i="16" s="1"/>
  <c r="J41" i="16"/>
  <c r="J132" i="16" s="1"/>
  <c r="I41" i="16"/>
  <c r="I132" i="16" s="1"/>
  <c r="H41" i="16"/>
  <c r="H132" i="16" s="1"/>
  <c r="R38" i="16"/>
  <c r="Q38" i="16"/>
  <c r="P38" i="16"/>
  <c r="O38" i="16"/>
  <c r="N38" i="16"/>
  <c r="M38" i="16"/>
  <c r="L38" i="16"/>
  <c r="L105" i="16" s="1"/>
  <c r="K38" i="16"/>
  <c r="J38" i="16"/>
  <c r="I38" i="16"/>
  <c r="I133" i="16" s="1"/>
  <c r="H38" i="16"/>
  <c r="R36" i="16"/>
  <c r="Q36" i="16"/>
  <c r="P36" i="16"/>
  <c r="O36" i="16"/>
  <c r="N36" i="16"/>
  <c r="N130" i="16" s="1"/>
  <c r="R35" i="16"/>
  <c r="Q35" i="16"/>
  <c r="Q129" i="16" s="1"/>
  <c r="P35" i="16"/>
  <c r="O35" i="16"/>
  <c r="O129" i="16" s="1"/>
  <c r="N35" i="16"/>
  <c r="P33" i="16"/>
  <c r="M33" i="16"/>
  <c r="L33" i="16"/>
  <c r="L46" i="16" s="1"/>
  <c r="K33" i="16"/>
  <c r="J33" i="16"/>
  <c r="I33" i="16"/>
  <c r="H33" i="16"/>
  <c r="H91" i="16" s="1"/>
  <c r="I32" i="16"/>
  <c r="I57" i="16" s="1"/>
  <c r="I73" i="16" s="1"/>
  <c r="N29" i="16"/>
  <c r="M27" i="16"/>
  <c r="L27" i="16"/>
  <c r="K27" i="16"/>
  <c r="K142" i="16" s="1"/>
  <c r="J27" i="16"/>
  <c r="I27" i="16"/>
  <c r="H27" i="16"/>
  <c r="H142" i="16" s="1"/>
  <c r="N24" i="16"/>
  <c r="N141" i="16" s="1"/>
  <c r="L24" i="16"/>
  <c r="L141" i="16" s="1"/>
  <c r="K24" i="16"/>
  <c r="K141" i="16" s="1"/>
  <c r="J24" i="16"/>
  <c r="J141" i="16" s="1"/>
  <c r="I24" i="16"/>
  <c r="I141" i="16" s="1"/>
  <c r="H24" i="16"/>
  <c r="H141" i="16" s="1"/>
  <c r="L21" i="16"/>
  <c r="L19" i="16" s="1"/>
  <c r="K21" i="16"/>
  <c r="J21" i="16"/>
  <c r="J19" i="16" s="1"/>
  <c r="I21" i="16"/>
  <c r="H21" i="16"/>
  <c r="H19" i="16" s="1"/>
  <c r="R19" i="16"/>
  <c r="R139" i="16" s="1"/>
  <c r="Q19" i="16"/>
  <c r="Q97" i="16" s="1"/>
  <c r="Q98" i="16" s="1"/>
  <c r="P19" i="16"/>
  <c r="P139" i="16" s="1"/>
  <c r="M19" i="16"/>
  <c r="M18" i="16" s="1"/>
  <c r="K19" i="16"/>
  <c r="I19" i="16"/>
  <c r="I97" i="16" s="1"/>
  <c r="I98" i="16" s="1"/>
  <c r="O15" i="16"/>
  <c r="P15" i="16" s="1"/>
  <c r="N15" i="16"/>
  <c r="N111" i="16" s="1"/>
  <c r="H15" i="16"/>
  <c r="H111" i="16" s="1"/>
  <c r="M10" i="16"/>
  <c r="M4" i="16" s="1"/>
  <c r="L10" i="16"/>
  <c r="L138" i="16" s="1"/>
  <c r="K10" i="16"/>
  <c r="J10" i="16"/>
  <c r="I10" i="16"/>
  <c r="R5" i="16"/>
  <c r="Q5" i="16"/>
  <c r="P5" i="16"/>
  <c r="O5" i="16"/>
  <c r="O103" i="16" s="1"/>
  <c r="N5" i="16"/>
  <c r="N103" i="16" s="1"/>
  <c r="M5" i="16"/>
  <c r="L5" i="16"/>
  <c r="K5" i="16"/>
  <c r="J5" i="16"/>
  <c r="I5" i="16"/>
  <c r="H5" i="16"/>
  <c r="K4" i="16"/>
  <c r="R109" i="26" l="1"/>
  <c r="R115" i="26" s="1"/>
  <c r="R119" i="26" s="1"/>
  <c r="R127" i="26" s="1"/>
  <c r="R106" i="26"/>
  <c r="R87" i="25"/>
  <c r="R95" i="25" s="1"/>
  <c r="R57" i="25"/>
  <c r="R73" i="25" s="1"/>
  <c r="Q106" i="25"/>
  <c r="Q109" i="25"/>
  <c r="Q115" i="25" s="1"/>
  <c r="Q119" i="25" s="1"/>
  <c r="Q127" i="25" s="1"/>
  <c r="Q87" i="24"/>
  <c r="Q95" i="24" s="1"/>
  <c r="Q57" i="24"/>
  <c r="Q73" i="24" s="1"/>
  <c r="R32" i="24"/>
  <c r="P109" i="24"/>
  <c r="P115" i="24" s="1"/>
  <c r="P119" i="24" s="1"/>
  <c r="P127" i="24" s="1"/>
  <c r="P106" i="24"/>
  <c r="P57" i="23"/>
  <c r="P73" i="23" s="1"/>
  <c r="P87" i="23"/>
  <c r="P95" i="23" s="1"/>
  <c r="Q32" i="23"/>
  <c r="O106" i="23"/>
  <c r="O109" i="23"/>
  <c r="O115" i="23" s="1"/>
  <c r="O119" i="23" s="1"/>
  <c r="O127" i="23" s="1"/>
  <c r="P57" i="22"/>
  <c r="P73" i="22" s="1"/>
  <c r="Q32" i="22"/>
  <c r="P87" i="22"/>
  <c r="P95" i="22" s="1"/>
  <c r="O109" i="22"/>
  <c r="O115" i="22" s="1"/>
  <c r="O119" i="22" s="1"/>
  <c r="O127" i="22" s="1"/>
  <c r="O106" i="22"/>
  <c r="R138" i="21"/>
  <c r="R4" i="21"/>
  <c r="R110" i="21" s="1"/>
  <c r="O106" i="21"/>
  <c r="O109" i="21"/>
  <c r="O115" i="21" s="1"/>
  <c r="O119" i="21" s="1"/>
  <c r="O127" i="21" s="1"/>
  <c r="P87" i="21"/>
  <c r="P95" i="21" s="1"/>
  <c r="P57" i="21"/>
  <c r="P73" i="21" s="1"/>
  <c r="Q32" i="21"/>
  <c r="Q136" i="21"/>
  <c r="Q107" i="21"/>
  <c r="Q31" i="21"/>
  <c r="Q112" i="21"/>
  <c r="Q114" i="21"/>
  <c r="L109" i="20"/>
  <c r="L115" i="20" s="1"/>
  <c r="L119" i="20" s="1"/>
  <c r="L127" i="20" s="1"/>
  <c r="L106" i="20"/>
  <c r="M87" i="20"/>
  <c r="M95" i="20" s="1"/>
  <c r="M57" i="20"/>
  <c r="M73" i="20" s="1"/>
  <c r="N32" i="20"/>
  <c r="K142" i="19"/>
  <c r="K108" i="19"/>
  <c r="K114" i="19"/>
  <c r="K18" i="19"/>
  <c r="K31" i="19" s="1"/>
  <c r="L109" i="19"/>
  <c r="L115" i="19" s="1"/>
  <c r="L119" i="19" s="1"/>
  <c r="L127" i="19" s="1"/>
  <c r="L106" i="19"/>
  <c r="L94" i="19"/>
  <c r="L27" i="19"/>
  <c r="M87" i="19"/>
  <c r="M95" i="19" s="1"/>
  <c r="N32" i="19"/>
  <c r="M57" i="19"/>
  <c r="M73" i="19" s="1"/>
  <c r="K106" i="18"/>
  <c r="K109" i="18"/>
  <c r="K115" i="18" s="1"/>
  <c r="K119" i="18" s="1"/>
  <c r="K127" i="18" s="1"/>
  <c r="J107" i="18"/>
  <c r="J136" i="18"/>
  <c r="J31" i="18"/>
  <c r="J112" i="18"/>
  <c r="J114" i="18"/>
  <c r="M135" i="18"/>
  <c r="M52" i="18"/>
  <c r="O135" i="18"/>
  <c r="O52" i="18"/>
  <c r="Q135" i="18"/>
  <c r="Q52" i="18"/>
  <c r="L135" i="18"/>
  <c r="L52" i="18"/>
  <c r="P135" i="18"/>
  <c r="P52" i="18"/>
  <c r="I52" i="18"/>
  <c r="I135" i="18"/>
  <c r="H135" i="18"/>
  <c r="H52" i="18"/>
  <c r="K135" i="18"/>
  <c r="K52" i="18"/>
  <c r="L87" i="18"/>
  <c r="L95" i="18" s="1"/>
  <c r="L57" i="18"/>
  <c r="L73" i="18" s="1"/>
  <c r="M32" i="18"/>
  <c r="O100" i="17"/>
  <c r="O99" i="17"/>
  <c r="Q134" i="17"/>
  <c r="Q92" i="17"/>
  <c r="Q88" i="17"/>
  <c r="Q93" i="17"/>
  <c r="Q48" i="17"/>
  <c r="Q51" i="17" s="1"/>
  <c r="P123" i="17"/>
  <c r="P124" i="17"/>
  <c r="P122" i="17"/>
  <c r="P125" i="17"/>
  <c r="P121" i="17"/>
  <c r="P120" i="17"/>
  <c r="P134" i="17"/>
  <c r="P48" i="17"/>
  <c r="P51" i="17" s="1"/>
  <c r="P88" i="17"/>
  <c r="P93" i="17"/>
  <c r="P92" i="17"/>
  <c r="K99" i="17"/>
  <c r="K100" i="17"/>
  <c r="P102" i="17"/>
  <c r="P90" i="17"/>
  <c r="N135" i="17"/>
  <c r="N52" i="17"/>
  <c r="K122" i="17"/>
  <c r="K125" i="17"/>
  <c r="K121" i="17"/>
  <c r="K123" i="17"/>
  <c r="K124" i="17"/>
  <c r="K120" i="17"/>
  <c r="P99" i="17"/>
  <c r="P100" i="17"/>
  <c r="K90" i="17"/>
  <c r="K102" i="17"/>
  <c r="N107" i="17"/>
  <c r="N136" i="17"/>
  <c r="R90" i="17"/>
  <c r="R102" i="17"/>
  <c r="J125" i="17"/>
  <c r="J121" i="17"/>
  <c r="J124" i="17"/>
  <c r="J120" i="17"/>
  <c r="J123" i="17"/>
  <c r="J122" i="17"/>
  <c r="M124" i="17"/>
  <c r="M120" i="17"/>
  <c r="M125" i="17"/>
  <c r="M123" i="17"/>
  <c r="M122" i="17"/>
  <c r="M121" i="17"/>
  <c r="H93" i="17"/>
  <c r="H48" i="17"/>
  <c r="H51" i="17" s="1"/>
  <c r="H134" i="17"/>
  <c r="H92" i="17"/>
  <c r="H88" i="17"/>
  <c r="P136" i="17"/>
  <c r="P107" i="17"/>
  <c r="P31" i="17"/>
  <c r="H123" i="17"/>
  <c r="H124" i="17"/>
  <c r="H122" i="17"/>
  <c r="H121" i="17"/>
  <c r="H120" i="17"/>
  <c r="H125" i="17"/>
  <c r="L92" i="17"/>
  <c r="L134" i="17"/>
  <c r="L93" i="17"/>
  <c r="L88" i="17"/>
  <c r="L48" i="17"/>
  <c r="L51" i="17" s="1"/>
  <c r="P110" i="17"/>
  <c r="M99" i="17"/>
  <c r="M100" i="17"/>
  <c r="H102" i="17"/>
  <c r="H90" i="17"/>
  <c r="Q124" i="17"/>
  <c r="Q120" i="17"/>
  <c r="Q125" i="17"/>
  <c r="Q123" i="17"/>
  <c r="Q121" i="17"/>
  <c r="Q122" i="17"/>
  <c r="I106" i="17"/>
  <c r="I109" i="17"/>
  <c r="I115" i="17" s="1"/>
  <c r="I119" i="17" s="1"/>
  <c r="I127" i="17" s="1"/>
  <c r="R107" i="17"/>
  <c r="R136" i="17"/>
  <c r="R31" i="17"/>
  <c r="N110" i="17"/>
  <c r="R125" i="17"/>
  <c r="R121" i="17"/>
  <c r="R124" i="17"/>
  <c r="R120" i="17"/>
  <c r="R123" i="17"/>
  <c r="R122" i="17"/>
  <c r="N102" i="17"/>
  <c r="N90" i="17"/>
  <c r="J109" i="17"/>
  <c r="J115" i="17" s="1"/>
  <c r="J119" i="17" s="1"/>
  <c r="J127" i="17" s="1"/>
  <c r="J106" i="17"/>
  <c r="O134" i="17"/>
  <c r="O93" i="17"/>
  <c r="O92" i="17"/>
  <c r="O48" i="17"/>
  <c r="O51" i="17" s="1"/>
  <c r="O88" i="17"/>
  <c r="L102" i="17"/>
  <c r="L90" i="17"/>
  <c r="O122" i="17"/>
  <c r="O123" i="17"/>
  <c r="O125" i="17"/>
  <c r="O121" i="17"/>
  <c r="O124" i="17"/>
  <c r="O120" i="17"/>
  <c r="Q102" i="17"/>
  <c r="Q90" i="17"/>
  <c r="N125" i="17"/>
  <c r="N121" i="17"/>
  <c r="N124" i="17"/>
  <c r="N120" i="17"/>
  <c r="N122" i="17"/>
  <c r="N123" i="17"/>
  <c r="J134" i="17"/>
  <c r="J92" i="17"/>
  <c r="J88" i="17"/>
  <c r="J48" i="17"/>
  <c r="J51" i="17" s="1"/>
  <c r="J93" i="17"/>
  <c r="L32" i="17"/>
  <c r="K87" i="17"/>
  <c r="K95" i="17" s="1"/>
  <c r="K57" i="17"/>
  <c r="K73" i="17" s="1"/>
  <c r="H100" i="17"/>
  <c r="Q99" i="17"/>
  <c r="Q100" i="17"/>
  <c r="M134" i="17"/>
  <c r="M88" i="17"/>
  <c r="M92" i="17"/>
  <c r="M93" i="17"/>
  <c r="M48" i="17"/>
  <c r="M51" i="17" s="1"/>
  <c r="O90" i="17"/>
  <c r="O102" i="17"/>
  <c r="J107" i="17"/>
  <c r="J136" i="17"/>
  <c r="J31" i="17"/>
  <c r="I102" i="17"/>
  <c r="I90" i="17"/>
  <c r="K134" i="17"/>
  <c r="K93" i="17"/>
  <c r="K88" i="17"/>
  <c r="K92" i="17"/>
  <c r="K48" i="17"/>
  <c r="K51" i="17" s="1"/>
  <c r="N112" i="17"/>
  <c r="J90" i="17"/>
  <c r="J102" i="17"/>
  <c r="J110" i="17"/>
  <c r="I124" i="17"/>
  <c r="I120" i="17"/>
  <c r="I125" i="17"/>
  <c r="I123" i="17"/>
  <c r="I121" i="17"/>
  <c r="I122" i="17"/>
  <c r="N114" i="17"/>
  <c r="J114" i="17"/>
  <c r="H4" i="16"/>
  <c r="H112" i="16" s="1"/>
  <c r="L134" i="16"/>
  <c r="L92" i="16"/>
  <c r="L93" i="16"/>
  <c r="L48" i="16"/>
  <c r="L51" i="16" s="1"/>
  <c r="L88" i="16"/>
  <c r="R117" i="16"/>
  <c r="R42" i="16"/>
  <c r="I120" i="16"/>
  <c r="H139" i="16"/>
  <c r="H97" i="16"/>
  <c r="H98" i="16" s="1"/>
  <c r="H18" i="16"/>
  <c r="L139" i="16"/>
  <c r="L18" i="16"/>
  <c r="L97" i="16"/>
  <c r="L98" i="16" s="1"/>
  <c r="P10" i="16"/>
  <c r="Q15" i="16"/>
  <c r="P91" i="16"/>
  <c r="Q45" i="16"/>
  <c r="R45" i="16" s="1"/>
  <c r="P41" i="16"/>
  <c r="P132" i="16" s="1"/>
  <c r="M136" i="16"/>
  <c r="M107" i="16"/>
  <c r="M31" i="16"/>
  <c r="I99" i="16"/>
  <c r="I100" i="16"/>
  <c r="J139" i="16"/>
  <c r="J18" i="16"/>
  <c r="J97" i="16"/>
  <c r="J98" i="16" s="1"/>
  <c r="P137" i="16"/>
  <c r="P104" i="16"/>
  <c r="J142" i="16"/>
  <c r="J108" i="16"/>
  <c r="J137" i="16"/>
  <c r="J104" i="16"/>
  <c r="R137" i="16"/>
  <c r="R104" i="16"/>
  <c r="K110" i="16"/>
  <c r="K138" i="16"/>
  <c r="O10" i="16"/>
  <c r="K139" i="16"/>
  <c r="K97" i="16"/>
  <c r="K98" i="16" s="1"/>
  <c r="L142" i="16"/>
  <c r="L108" i="16"/>
  <c r="J113" i="16"/>
  <c r="J116" i="16"/>
  <c r="J128" i="16"/>
  <c r="N33" i="16"/>
  <c r="N116" i="16" s="1"/>
  <c r="R33" i="16"/>
  <c r="P130" i="16"/>
  <c r="P117" i="16"/>
  <c r="M131" i="16"/>
  <c r="M118" i="16"/>
  <c r="M105" i="16"/>
  <c r="J46" i="16"/>
  <c r="H103" i="16"/>
  <c r="P103" i="16"/>
  <c r="J105" i="16"/>
  <c r="J4" i="16"/>
  <c r="J110" i="16" s="1"/>
  <c r="K137" i="16"/>
  <c r="K103" i="16"/>
  <c r="H10" i="16"/>
  <c r="K18" i="16"/>
  <c r="I142" i="16"/>
  <c r="I114" i="16"/>
  <c r="M142" i="16"/>
  <c r="M108" i="16"/>
  <c r="M114" i="16"/>
  <c r="J32" i="16"/>
  <c r="K128" i="16"/>
  <c r="K117" i="16"/>
  <c r="K112" i="16"/>
  <c r="K116" i="16"/>
  <c r="K89" i="16"/>
  <c r="K91" i="16"/>
  <c r="O33" i="16"/>
  <c r="N129" i="16"/>
  <c r="R129" i="16"/>
  <c r="R116" i="16"/>
  <c r="Q130" i="16"/>
  <c r="J131" i="16"/>
  <c r="J118" i="16"/>
  <c r="J133" i="16"/>
  <c r="N131" i="16"/>
  <c r="N118" i="16"/>
  <c r="N133" i="16"/>
  <c r="R133" i="16"/>
  <c r="O41" i="16"/>
  <c r="O132" i="16" s="1"/>
  <c r="K46" i="16"/>
  <c r="O111" i="16"/>
  <c r="J103" i="16"/>
  <c r="R103" i="16"/>
  <c r="O104" i="16"/>
  <c r="K108" i="16"/>
  <c r="K114" i="16"/>
  <c r="J117" i="16"/>
  <c r="L128" i="16"/>
  <c r="R130" i="16"/>
  <c r="Q139" i="16"/>
  <c r="I138" i="16"/>
  <c r="I110" i="16"/>
  <c r="O133" i="16"/>
  <c r="O105" i="16"/>
  <c r="K136" i="16"/>
  <c r="K107" i="16"/>
  <c r="L137" i="16"/>
  <c r="L104" i="16"/>
  <c r="M138" i="16"/>
  <c r="M110" i="16"/>
  <c r="H116" i="16"/>
  <c r="H113" i="16"/>
  <c r="H117" i="16"/>
  <c r="L116" i="16"/>
  <c r="L113" i="16"/>
  <c r="L117" i="16"/>
  <c r="P113" i="16"/>
  <c r="P112" i="16"/>
  <c r="K105" i="16"/>
  <c r="K133" i="16"/>
  <c r="H46" i="16"/>
  <c r="P46" i="16"/>
  <c r="P111" i="16"/>
  <c r="I87" i="16"/>
  <c r="I95" i="16" s="1"/>
  <c r="H89" i="16"/>
  <c r="P89" i="16"/>
  <c r="J91" i="16"/>
  <c r="H109" i="16"/>
  <c r="H115" i="16" s="1"/>
  <c r="H119" i="16" s="1"/>
  <c r="H127" i="16" s="1"/>
  <c r="H106" i="16"/>
  <c r="L103" i="16"/>
  <c r="N105" i="16"/>
  <c r="I121" i="16"/>
  <c r="P128" i="16"/>
  <c r="K131" i="16"/>
  <c r="L4" i="16"/>
  <c r="P4" i="16"/>
  <c r="I137" i="16"/>
  <c r="I103" i="16"/>
  <c r="M137" i="16"/>
  <c r="M103" i="16"/>
  <c r="Q137" i="16"/>
  <c r="Q103" i="16"/>
  <c r="J138" i="16"/>
  <c r="N10" i="16"/>
  <c r="I18" i="16"/>
  <c r="N19" i="16"/>
  <c r="O24" i="16"/>
  <c r="I117" i="16"/>
  <c r="I128" i="16"/>
  <c r="I91" i="16"/>
  <c r="I113" i="16"/>
  <c r="I89" i="16"/>
  <c r="M117" i="16"/>
  <c r="M112" i="16"/>
  <c r="M128" i="16"/>
  <c r="M113" i="16"/>
  <c r="M91" i="16"/>
  <c r="M89" i="16"/>
  <c r="Q33" i="16"/>
  <c r="P129" i="16"/>
  <c r="P116" i="16"/>
  <c r="O130" i="16"/>
  <c r="O117" i="16"/>
  <c r="H133" i="16"/>
  <c r="H131" i="16"/>
  <c r="H118" i="16"/>
  <c r="L133" i="16"/>
  <c r="L131" i="16"/>
  <c r="L118" i="16"/>
  <c r="P133" i="16"/>
  <c r="P131" i="16"/>
  <c r="P118" i="16"/>
  <c r="I46" i="16"/>
  <c r="M46" i="16"/>
  <c r="P71" i="16"/>
  <c r="Q85" i="16"/>
  <c r="J89" i="16"/>
  <c r="L91" i="16"/>
  <c r="P97" i="16"/>
  <c r="P98" i="16" s="1"/>
  <c r="R99" i="16"/>
  <c r="K104" i="16"/>
  <c r="H105" i="16"/>
  <c r="P105" i="16"/>
  <c r="J112" i="16"/>
  <c r="M116" i="16"/>
  <c r="O131" i="16"/>
  <c r="H137" i="16"/>
  <c r="H104" i="16"/>
  <c r="M139" i="16"/>
  <c r="M97" i="16"/>
  <c r="M98" i="16" s="1"/>
  <c r="I4" i="16"/>
  <c r="N137" i="16"/>
  <c r="N104" i="16"/>
  <c r="H114" i="16"/>
  <c r="H108" i="16"/>
  <c r="K31" i="16"/>
  <c r="I131" i="16"/>
  <c r="I118" i="16"/>
  <c r="I105" i="16"/>
  <c r="Q133" i="16"/>
  <c r="L89" i="16"/>
  <c r="K118" i="16"/>
  <c r="H128" i="16"/>
  <c r="M133" i="16"/>
  <c r="I139" i="16"/>
  <c r="H142" i="15"/>
  <c r="R141" i="15"/>
  <c r="Q141" i="15"/>
  <c r="P141" i="15"/>
  <c r="O141" i="15"/>
  <c r="N141" i="15"/>
  <c r="M141" i="15"/>
  <c r="L141" i="15"/>
  <c r="K141" i="15"/>
  <c r="M140" i="15"/>
  <c r="L140" i="15"/>
  <c r="K140" i="15"/>
  <c r="J140" i="15"/>
  <c r="I140" i="15"/>
  <c r="H140" i="15"/>
  <c r="Q139" i="15"/>
  <c r="P133" i="15"/>
  <c r="L133" i="15"/>
  <c r="H133" i="15"/>
  <c r="M130" i="15"/>
  <c r="L130" i="15"/>
  <c r="K130" i="15"/>
  <c r="J130" i="15"/>
  <c r="H130" i="15"/>
  <c r="N129" i="15"/>
  <c r="M129" i="15"/>
  <c r="L129" i="15"/>
  <c r="K129" i="15"/>
  <c r="J129" i="15"/>
  <c r="I129" i="15"/>
  <c r="H129" i="15"/>
  <c r="M122" i="15"/>
  <c r="J118" i="15"/>
  <c r="M117" i="15"/>
  <c r="M116" i="15"/>
  <c r="M121" i="15" s="1"/>
  <c r="E114" i="15"/>
  <c r="M113" i="15"/>
  <c r="O111" i="15"/>
  <c r="N111" i="15"/>
  <c r="M111" i="15"/>
  <c r="L111" i="15"/>
  <c r="K111" i="15"/>
  <c r="J111" i="15"/>
  <c r="I111" i="15"/>
  <c r="H111" i="15"/>
  <c r="H108" i="15"/>
  <c r="L105" i="15"/>
  <c r="H105" i="15"/>
  <c r="K104" i="15"/>
  <c r="J104" i="15"/>
  <c r="J103" i="15"/>
  <c r="R101" i="15"/>
  <c r="Q101" i="15"/>
  <c r="P101" i="15"/>
  <c r="O101" i="15"/>
  <c r="N101" i="15"/>
  <c r="M101" i="15"/>
  <c r="L101" i="15"/>
  <c r="K101" i="15"/>
  <c r="J101" i="15"/>
  <c r="H101" i="15"/>
  <c r="M99" i="15"/>
  <c r="Q98" i="15"/>
  <c r="M98" i="15"/>
  <c r="Q97" i="15"/>
  <c r="M97" i="15"/>
  <c r="R96" i="15"/>
  <c r="Q96" i="15"/>
  <c r="P96" i="15"/>
  <c r="O96" i="15"/>
  <c r="N96" i="15"/>
  <c r="M96" i="15"/>
  <c r="L96" i="15"/>
  <c r="K96" i="15"/>
  <c r="J96" i="15"/>
  <c r="I96" i="15"/>
  <c r="H96" i="15"/>
  <c r="M94" i="15"/>
  <c r="J94" i="15"/>
  <c r="I94" i="15"/>
  <c r="H94" i="15"/>
  <c r="M91" i="15"/>
  <c r="M89" i="15"/>
  <c r="M90" i="15" s="1"/>
  <c r="L89" i="15"/>
  <c r="L90" i="15" s="1"/>
  <c r="H89" i="15"/>
  <c r="H102" i="15" s="1"/>
  <c r="I87" i="15"/>
  <c r="I95" i="15" s="1"/>
  <c r="H87" i="15"/>
  <c r="H95" i="15" s="1"/>
  <c r="H109" i="15" s="1"/>
  <c r="H115" i="15" s="1"/>
  <c r="H119" i="15" s="1"/>
  <c r="H127" i="15" s="1"/>
  <c r="R85" i="15"/>
  <c r="Q85" i="15"/>
  <c r="P85" i="15"/>
  <c r="O85" i="15"/>
  <c r="N85" i="15"/>
  <c r="M85" i="15"/>
  <c r="L85" i="15"/>
  <c r="K85" i="15"/>
  <c r="J85" i="15"/>
  <c r="H85" i="15"/>
  <c r="I80" i="15"/>
  <c r="I79" i="15"/>
  <c r="I78" i="15"/>
  <c r="I101" i="15" s="1"/>
  <c r="R71" i="15"/>
  <c r="Q71" i="15"/>
  <c r="P71" i="15"/>
  <c r="O71" i="15"/>
  <c r="N71" i="15"/>
  <c r="M71" i="15"/>
  <c r="L71" i="15"/>
  <c r="K71" i="15"/>
  <c r="J71" i="15"/>
  <c r="I71" i="15"/>
  <c r="H71" i="15"/>
  <c r="H57" i="15"/>
  <c r="H73" i="15" s="1"/>
  <c r="M46" i="15"/>
  <c r="M93" i="15" s="1"/>
  <c r="L46" i="15"/>
  <c r="H46" i="15"/>
  <c r="H88" i="15" s="1"/>
  <c r="R45" i="15"/>
  <c r="P43" i="15"/>
  <c r="P41" i="15" s="1"/>
  <c r="P132" i="15" s="1"/>
  <c r="O43" i="15"/>
  <c r="I43" i="15"/>
  <c r="Q42" i="15"/>
  <c r="P42" i="15"/>
  <c r="I42" i="15"/>
  <c r="O41" i="15"/>
  <c r="O132" i="15" s="1"/>
  <c r="N41" i="15"/>
  <c r="N132" i="15" s="1"/>
  <c r="M41" i="15"/>
  <c r="M132" i="15" s="1"/>
  <c r="L41" i="15"/>
  <c r="L132" i="15" s="1"/>
  <c r="K41" i="15"/>
  <c r="K132" i="15" s="1"/>
  <c r="J41" i="15"/>
  <c r="J132" i="15" s="1"/>
  <c r="I41" i="15"/>
  <c r="I132" i="15" s="1"/>
  <c r="H41" i="15"/>
  <c r="H132" i="15" s="1"/>
  <c r="I40" i="15"/>
  <c r="I38" i="15" s="1"/>
  <c r="R38" i="15"/>
  <c r="Q38" i="15"/>
  <c r="P38" i="15"/>
  <c r="O38" i="15"/>
  <c r="N38" i="15"/>
  <c r="M38" i="15"/>
  <c r="L38" i="15"/>
  <c r="K38" i="15"/>
  <c r="K118" i="15" s="1"/>
  <c r="J38" i="15"/>
  <c r="H38" i="15"/>
  <c r="R36" i="15"/>
  <c r="Q36" i="15"/>
  <c r="Q130" i="15" s="1"/>
  <c r="P36" i="15"/>
  <c r="P130" i="15" s="1"/>
  <c r="O36" i="15"/>
  <c r="N36" i="15"/>
  <c r="I36" i="15"/>
  <c r="O35" i="15"/>
  <c r="P35" i="15" s="1"/>
  <c r="N33" i="15"/>
  <c r="M33" i="15"/>
  <c r="M128" i="15" s="1"/>
  <c r="L33" i="15"/>
  <c r="L116" i="15" s="1"/>
  <c r="K33" i="15"/>
  <c r="J33" i="15"/>
  <c r="J91" i="15" s="1"/>
  <c r="H33" i="15"/>
  <c r="J32" i="15"/>
  <c r="K32" i="15" s="1"/>
  <c r="I32" i="15"/>
  <c r="I57" i="15" s="1"/>
  <c r="I73" i="15" s="1"/>
  <c r="K29" i="15"/>
  <c r="M27" i="15"/>
  <c r="M142" i="15" s="1"/>
  <c r="K27" i="15"/>
  <c r="K114" i="15" s="1"/>
  <c r="J27" i="15"/>
  <c r="I27" i="15"/>
  <c r="H27" i="15"/>
  <c r="J24" i="15"/>
  <c r="J141" i="15" s="1"/>
  <c r="I24" i="15"/>
  <c r="H24" i="15"/>
  <c r="H141" i="15" s="1"/>
  <c r="M21" i="15"/>
  <c r="L21" i="15"/>
  <c r="K21" i="15"/>
  <c r="J21" i="15"/>
  <c r="I21" i="15"/>
  <c r="H21" i="15"/>
  <c r="H19" i="15" s="1"/>
  <c r="R20" i="15"/>
  <c r="R140" i="15" s="1"/>
  <c r="Q20" i="15"/>
  <c r="Q140" i="15" s="1"/>
  <c r="P20" i="15"/>
  <c r="P140" i="15" s="1"/>
  <c r="O20" i="15"/>
  <c r="O140" i="15" s="1"/>
  <c r="N20" i="15"/>
  <c r="N140" i="15" s="1"/>
  <c r="R19" i="15"/>
  <c r="Q19" i="15"/>
  <c r="P19" i="15"/>
  <c r="O19" i="15"/>
  <c r="O139" i="15" s="1"/>
  <c r="N19" i="15"/>
  <c r="M19" i="15"/>
  <c r="M139" i="15" s="1"/>
  <c r="L19" i="15"/>
  <c r="L97" i="15" s="1"/>
  <c r="L98" i="15" s="1"/>
  <c r="K19" i="15"/>
  <c r="K139" i="15" s="1"/>
  <c r="M18" i="15"/>
  <c r="Q15" i="15"/>
  <c r="Q111" i="15" s="1"/>
  <c r="P15" i="15"/>
  <c r="P111" i="15" s="1"/>
  <c r="O15" i="15"/>
  <c r="Q10" i="15"/>
  <c r="P10" i="15"/>
  <c r="P138" i="15" s="1"/>
  <c r="O10" i="15"/>
  <c r="O138" i="15" s="1"/>
  <c r="N10" i="15"/>
  <c r="M10" i="15"/>
  <c r="L10" i="15"/>
  <c r="L138" i="15" s="1"/>
  <c r="K10" i="15"/>
  <c r="K138" i="15" s="1"/>
  <c r="J10" i="15"/>
  <c r="I10" i="15"/>
  <c r="H10" i="15"/>
  <c r="R5" i="15"/>
  <c r="R137" i="15" s="1"/>
  <c r="Q5" i="15"/>
  <c r="Q103" i="15" s="1"/>
  <c r="P5" i="15"/>
  <c r="P4" i="15" s="1"/>
  <c r="O5" i="15"/>
  <c r="N5" i="15"/>
  <c r="N137" i="15" s="1"/>
  <c r="M5" i="15"/>
  <c r="L5" i="15"/>
  <c r="K5" i="15"/>
  <c r="J5" i="15"/>
  <c r="J137" i="15" s="1"/>
  <c r="I5" i="15"/>
  <c r="I103" i="15" s="1"/>
  <c r="H5" i="15"/>
  <c r="O4" i="15"/>
  <c r="N4" i="15"/>
  <c r="N107" i="15" s="1"/>
  <c r="K4" i="15"/>
  <c r="K110" i="15" s="1"/>
  <c r="J4" i="15"/>
  <c r="J107" i="15" s="1"/>
  <c r="H4" i="15"/>
  <c r="R106" i="25" l="1"/>
  <c r="R109" i="25"/>
  <c r="R115" i="25" s="1"/>
  <c r="R119" i="25" s="1"/>
  <c r="R127" i="25" s="1"/>
  <c r="R57" i="24"/>
  <c r="R73" i="24" s="1"/>
  <c r="R87" i="24"/>
  <c r="R95" i="24" s="1"/>
  <c r="Q106" i="24"/>
  <c r="Q109" i="24"/>
  <c r="Q115" i="24" s="1"/>
  <c r="Q119" i="24" s="1"/>
  <c r="Q127" i="24" s="1"/>
  <c r="Q57" i="23"/>
  <c r="Q73" i="23" s="1"/>
  <c r="Q87" i="23"/>
  <c r="Q95" i="23" s="1"/>
  <c r="R32" i="23"/>
  <c r="P109" i="23"/>
  <c r="P115" i="23" s="1"/>
  <c r="P119" i="23" s="1"/>
  <c r="P127" i="23" s="1"/>
  <c r="P106" i="23"/>
  <c r="P106" i="22"/>
  <c r="P109" i="22"/>
  <c r="P115" i="22" s="1"/>
  <c r="P119" i="22" s="1"/>
  <c r="P127" i="22" s="1"/>
  <c r="R32" i="22"/>
  <c r="Q87" i="22"/>
  <c r="Q95" i="22" s="1"/>
  <c r="Q57" i="22"/>
  <c r="Q73" i="22" s="1"/>
  <c r="Q87" i="21"/>
  <c r="Q95" i="21" s="1"/>
  <c r="Q57" i="21"/>
  <c r="Q73" i="21" s="1"/>
  <c r="R32" i="21"/>
  <c r="R136" i="21"/>
  <c r="R107" i="21"/>
  <c r="R31" i="21"/>
  <c r="R112" i="21"/>
  <c r="R114" i="21"/>
  <c r="P109" i="21"/>
  <c r="P115" i="21" s="1"/>
  <c r="P119" i="21" s="1"/>
  <c r="P127" i="21" s="1"/>
  <c r="P106" i="21"/>
  <c r="M106" i="20"/>
  <c r="M109" i="20"/>
  <c r="M115" i="20" s="1"/>
  <c r="M119" i="20" s="1"/>
  <c r="M127" i="20" s="1"/>
  <c r="O32" i="20"/>
  <c r="N87" i="20"/>
  <c r="N95" i="20" s="1"/>
  <c r="N57" i="20"/>
  <c r="N73" i="20" s="1"/>
  <c r="L142" i="19"/>
  <c r="L108" i="19"/>
  <c r="L114" i="19"/>
  <c r="L18" i="19"/>
  <c r="L31" i="19" s="1"/>
  <c r="N87" i="19"/>
  <c r="N95" i="19" s="1"/>
  <c r="N57" i="19"/>
  <c r="N73" i="19" s="1"/>
  <c r="O32" i="19"/>
  <c r="M109" i="19"/>
  <c r="M115" i="19" s="1"/>
  <c r="M119" i="19" s="1"/>
  <c r="M127" i="19" s="1"/>
  <c r="M106" i="19"/>
  <c r="L109" i="18"/>
  <c r="L115" i="18" s="1"/>
  <c r="L119" i="18" s="1"/>
  <c r="L127" i="18" s="1"/>
  <c r="L106" i="18"/>
  <c r="M57" i="18"/>
  <c r="M73" i="18" s="1"/>
  <c r="N32" i="18"/>
  <c r="M87" i="18"/>
  <c r="M95" i="18" s="1"/>
  <c r="K109" i="17"/>
  <c r="K115" i="17" s="1"/>
  <c r="K119" i="17" s="1"/>
  <c r="K127" i="17" s="1"/>
  <c r="K106" i="17"/>
  <c r="O135" i="17"/>
  <c r="O52" i="17"/>
  <c r="H135" i="17"/>
  <c r="H52" i="17"/>
  <c r="L87" i="17"/>
  <c r="L95" i="17" s="1"/>
  <c r="L57" i="17"/>
  <c r="L73" i="17" s="1"/>
  <c r="M32" i="17"/>
  <c r="P135" i="17"/>
  <c r="P52" i="17"/>
  <c r="Q135" i="17"/>
  <c r="Q52" i="17"/>
  <c r="K135" i="17"/>
  <c r="K52" i="17"/>
  <c r="M52" i="17"/>
  <c r="M135" i="17"/>
  <c r="J135" i="17"/>
  <c r="J52" i="17"/>
  <c r="L135" i="17"/>
  <c r="L52" i="17"/>
  <c r="N122" i="16"/>
  <c r="N124" i="16"/>
  <c r="N120" i="16"/>
  <c r="N123" i="16"/>
  <c r="N125" i="16"/>
  <c r="N121" i="16"/>
  <c r="M99" i="16"/>
  <c r="M100" i="16"/>
  <c r="P100" i="16"/>
  <c r="P99" i="16"/>
  <c r="Q128" i="16"/>
  <c r="Q113" i="16"/>
  <c r="L136" i="16"/>
  <c r="L31" i="16"/>
  <c r="L107" i="16"/>
  <c r="K134" i="16"/>
  <c r="K93" i="16"/>
  <c r="K88" i="16"/>
  <c r="K92" i="16"/>
  <c r="K48" i="16"/>
  <c r="K51" i="16" s="1"/>
  <c r="K123" i="16"/>
  <c r="K125" i="16"/>
  <c r="K121" i="16"/>
  <c r="K124" i="16"/>
  <c r="K120" i="16"/>
  <c r="K122" i="16"/>
  <c r="Q116" i="16"/>
  <c r="M125" i="16"/>
  <c r="M121" i="16"/>
  <c r="M123" i="16"/>
  <c r="M122" i="16"/>
  <c r="M120" i="16"/>
  <c r="M124" i="16"/>
  <c r="M134" i="16"/>
  <c r="M93" i="16"/>
  <c r="M48" i="16"/>
  <c r="M51" i="16" s="1"/>
  <c r="M92" i="16"/>
  <c r="M88" i="16"/>
  <c r="M90" i="16"/>
  <c r="M102" i="16"/>
  <c r="P102" i="16"/>
  <c r="P90" i="16"/>
  <c r="P92" i="16"/>
  <c r="P134" i="16"/>
  <c r="P48" i="16"/>
  <c r="P51" i="16" s="1"/>
  <c r="P93" i="16"/>
  <c r="P88" i="16"/>
  <c r="R122" i="16"/>
  <c r="R124" i="16"/>
  <c r="R120" i="16"/>
  <c r="R123" i="16"/>
  <c r="R121" i="16"/>
  <c r="R125" i="16"/>
  <c r="O128" i="16"/>
  <c r="O89" i="16"/>
  <c r="O91" i="16"/>
  <c r="O113" i="16"/>
  <c r="O46" i="16"/>
  <c r="J134" i="16"/>
  <c r="J92" i="16"/>
  <c r="J48" i="16"/>
  <c r="J51" i="16" s="1"/>
  <c r="J88" i="16"/>
  <c r="J93" i="16"/>
  <c r="O110" i="16"/>
  <c r="O138" i="16"/>
  <c r="O4" i="16"/>
  <c r="J114" i="16"/>
  <c r="J100" i="16"/>
  <c r="J99" i="16"/>
  <c r="Q99" i="16"/>
  <c r="O118" i="16"/>
  <c r="J102" i="16"/>
  <c r="J90" i="16"/>
  <c r="O19" i="16"/>
  <c r="O141" i="16"/>
  <c r="H102" i="16"/>
  <c r="H90" i="16"/>
  <c r="L124" i="16"/>
  <c r="L120" i="16"/>
  <c r="L122" i="16"/>
  <c r="L121" i="16"/>
  <c r="L125" i="16"/>
  <c r="L123" i="16"/>
  <c r="P124" i="16"/>
  <c r="P120" i="16"/>
  <c r="P122" i="16"/>
  <c r="P125" i="16"/>
  <c r="P121" i="16"/>
  <c r="P123" i="16"/>
  <c r="N138" i="16"/>
  <c r="H92" i="16"/>
  <c r="H134" i="16"/>
  <c r="H48" i="16"/>
  <c r="H51" i="16" s="1"/>
  <c r="H93" i="16"/>
  <c r="H88" i="16"/>
  <c r="H120" i="16"/>
  <c r="H122" i="16"/>
  <c r="H125" i="16"/>
  <c r="H121" i="16"/>
  <c r="H123" i="16"/>
  <c r="J122" i="16"/>
  <c r="J124" i="16"/>
  <c r="J120" i="16"/>
  <c r="J123" i="16"/>
  <c r="J121" i="16"/>
  <c r="J125" i="16"/>
  <c r="L114" i="16"/>
  <c r="Q111" i="16"/>
  <c r="R15" i="16"/>
  <c r="Q10" i="16"/>
  <c r="I136" i="16"/>
  <c r="I107" i="16"/>
  <c r="I31" i="16"/>
  <c r="L110" i="16"/>
  <c r="I102" i="16"/>
  <c r="I90" i="16"/>
  <c r="I112" i="16"/>
  <c r="N139" i="16"/>
  <c r="N97" i="16"/>
  <c r="N98" i="16" s="1"/>
  <c r="P136" i="16"/>
  <c r="P107" i="16"/>
  <c r="N117" i="16"/>
  <c r="I109" i="16"/>
  <c r="I115" i="16" s="1"/>
  <c r="I119" i="16" s="1"/>
  <c r="I127" i="16" s="1"/>
  <c r="I106" i="16"/>
  <c r="L112" i="16"/>
  <c r="O116" i="16"/>
  <c r="Q117" i="16"/>
  <c r="K90" i="16"/>
  <c r="K102" i="16"/>
  <c r="H138" i="16"/>
  <c r="H110" i="16"/>
  <c r="N4" i="16"/>
  <c r="N110" i="16" s="1"/>
  <c r="R128" i="16"/>
  <c r="R91" i="16"/>
  <c r="R46" i="16"/>
  <c r="K99" i="16"/>
  <c r="K100" i="16"/>
  <c r="P138" i="16"/>
  <c r="P110" i="16"/>
  <c r="R41" i="16"/>
  <c r="L102" i="16"/>
  <c r="L90" i="16"/>
  <c r="I134" i="16"/>
  <c r="I93" i="16"/>
  <c r="I92" i="16"/>
  <c r="I48" i="16"/>
  <c r="I51" i="16" s="1"/>
  <c r="I88" i="16"/>
  <c r="I122" i="16"/>
  <c r="J87" i="16"/>
  <c r="J95" i="16" s="1"/>
  <c r="K32" i="16"/>
  <c r="J57" i="16"/>
  <c r="J73" i="16" s="1"/>
  <c r="J136" i="16"/>
  <c r="J107" i="16"/>
  <c r="J31" i="16"/>
  <c r="N113" i="16"/>
  <c r="N128" i="16"/>
  <c r="N112" i="16"/>
  <c r="N46" i="16"/>
  <c r="N89" i="16"/>
  <c r="N91" i="16"/>
  <c r="L100" i="16"/>
  <c r="L99" i="16"/>
  <c r="H100" i="16"/>
  <c r="H99" i="16"/>
  <c r="Q41" i="16"/>
  <c r="L135" i="16"/>
  <c r="L52" i="16"/>
  <c r="H136" i="16"/>
  <c r="H107" i="16"/>
  <c r="H31" i="16"/>
  <c r="L100" i="15"/>
  <c r="L99" i="15"/>
  <c r="H139" i="15"/>
  <c r="H18" i="15"/>
  <c r="H97" i="15"/>
  <c r="H98" i="15" s="1"/>
  <c r="K57" i="15"/>
  <c r="K73" i="15" s="1"/>
  <c r="L32" i="15"/>
  <c r="K87" i="15"/>
  <c r="K95" i="15" s="1"/>
  <c r="L123" i="15"/>
  <c r="L122" i="15"/>
  <c r="L121" i="15"/>
  <c r="L120" i="15"/>
  <c r="L124" i="15"/>
  <c r="L125" i="15"/>
  <c r="I133" i="15"/>
  <c r="I131" i="15"/>
  <c r="I118" i="15"/>
  <c r="I105" i="15"/>
  <c r="H31" i="15"/>
  <c r="I109" i="15"/>
  <c r="I115" i="15" s="1"/>
  <c r="I119" i="15" s="1"/>
  <c r="I127" i="15" s="1"/>
  <c r="I106" i="15"/>
  <c r="P136" i="15"/>
  <c r="P107" i="15"/>
  <c r="P110" i="15"/>
  <c r="P129" i="15"/>
  <c r="Q35" i="15"/>
  <c r="P33" i="15"/>
  <c r="Q41" i="15"/>
  <c r="Q132" i="15" s="1"/>
  <c r="L104" i="15"/>
  <c r="L137" i="15"/>
  <c r="L103" i="15"/>
  <c r="J142" i="15"/>
  <c r="J114" i="15"/>
  <c r="J108" i="15"/>
  <c r="N116" i="15"/>
  <c r="N128" i="15"/>
  <c r="N89" i="15"/>
  <c r="M137" i="15"/>
  <c r="M104" i="15"/>
  <c r="M4" i="15"/>
  <c r="N138" i="15"/>
  <c r="N110" i="15"/>
  <c r="P139" i="15"/>
  <c r="K117" i="15"/>
  <c r="K112" i="15"/>
  <c r="K113" i="15"/>
  <c r="K46" i="15"/>
  <c r="H90" i="15"/>
  <c r="M133" i="15"/>
  <c r="M118" i="15"/>
  <c r="M105" i="15"/>
  <c r="M131" i="15"/>
  <c r="Q133" i="15"/>
  <c r="Q105" i="15"/>
  <c r="R42" i="15"/>
  <c r="R41" i="15" s="1"/>
  <c r="R132" i="15" s="1"/>
  <c r="Q43" i="15"/>
  <c r="R43" i="15" s="1"/>
  <c r="I85" i="15"/>
  <c r="J87" i="15"/>
  <c r="J95" i="15" s="1"/>
  <c r="N91" i="15"/>
  <c r="H92" i="15"/>
  <c r="O97" i="15"/>
  <c r="O98" i="15" s="1"/>
  <c r="L102" i="15"/>
  <c r="N104" i="15"/>
  <c r="K105" i="15"/>
  <c r="H106" i="15"/>
  <c r="L4" i="15"/>
  <c r="L110" i="15" s="1"/>
  <c r="K137" i="15"/>
  <c r="K103" i="15"/>
  <c r="O103" i="15"/>
  <c r="O137" i="15"/>
  <c r="H138" i="15"/>
  <c r="H110" i="15"/>
  <c r="J19" i="15"/>
  <c r="N139" i="15"/>
  <c r="N97" i="15"/>
  <c r="N98" i="15" s="1"/>
  <c r="R139" i="15"/>
  <c r="R97" i="15"/>
  <c r="R98" i="15" s="1"/>
  <c r="I142" i="15"/>
  <c r="I108" i="15"/>
  <c r="K94" i="15"/>
  <c r="L29" i="15"/>
  <c r="H128" i="15"/>
  <c r="H113" i="15"/>
  <c r="H91" i="15"/>
  <c r="H117" i="15"/>
  <c r="H116" i="15"/>
  <c r="I130" i="15"/>
  <c r="I117" i="15"/>
  <c r="I33" i="15"/>
  <c r="J133" i="15"/>
  <c r="J131" i="15"/>
  <c r="J105" i="15"/>
  <c r="N133" i="15"/>
  <c r="N131" i="15"/>
  <c r="N118" i="15"/>
  <c r="N105" i="15"/>
  <c r="R133" i="15"/>
  <c r="R131" i="15"/>
  <c r="R118" i="15"/>
  <c r="R105" i="15"/>
  <c r="J46" i="15"/>
  <c r="K89" i="15"/>
  <c r="K97" i="15"/>
  <c r="K98" i="15" s="1"/>
  <c r="P97" i="15"/>
  <c r="P98" i="15" s="1"/>
  <c r="M102" i="15"/>
  <c r="R103" i="15"/>
  <c r="O104" i="15"/>
  <c r="M108" i="15"/>
  <c r="K128" i="15"/>
  <c r="H136" i="15"/>
  <c r="H107" i="15"/>
  <c r="I138" i="15"/>
  <c r="J116" i="15"/>
  <c r="J112" i="15"/>
  <c r="J128" i="15"/>
  <c r="J89" i="15"/>
  <c r="J113" i="15"/>
  <c r="O129" i="15"/>
  <c r="N130" i="15"/>
  <c r="N117" i="15"/>
  <c r="R130" i="15"/>
  <c r="K131" i="15"/>
  <c r="K133" i="15"/>
  <c r="O131" i="15"/>
  <c r="O133" i="15"/>
  <c r="L134" i="15"/>
  <c r="L48" i="15"/>
  <c r="L51" i="15" s="1"/>
  <c r="J57" i="15"/>
  <c r="J73" i="15" s="1"/>
  <c r="L88" i="15"/>
  <c r="K91" i="15"/>
  <c r="M100" i="15"/>
  <c r="M103" i="15"/>
  <c r="R104" i="15"/>
  <c r="O105" i="15"/>
  <c r="K116" i="15"/>
  <c r="O118" i="15"/>
  <c r="N136" i="15"/>
  <c r="P137" i="15"/>
  <c r="P104" i="15"/>
  <c r="P103" i="15"/>
  <c r="M110" i="15"/>
  <c r="M138" i="15"/>
  <c r="K18" i="15"/>
  <c r="K31" i="15" s="1"/>
  <c r="O136" i="15"/>
  <c r="O107" i="15"/>
  <c r="Q137" i="15"/>
  <c r="Q104" i="15"/>
  <c r="Q4" i="15"/>
  <c r="Q110" i="15" s="1"/>
  <c r="R15" i="15"/>
  <c r="K142" i="15"/>
  <c r="K108" i="15"/>
  <c r="M134" i="15"/>
  <c r="M92" i="15"/>
  <c r="M88" i="15"/>
  <c r="L92" i="15"/>
  <c r="L93" i="15"/>
  <c r="N103" i="15"/>
  <c r="P105" i="15"/>
  <c r="N112" i="15"/>
  <c r="N113" i="15"/>
  <c r="M114" i="15"/>
  <c r="J117" i="15"/>
  <c r="Q118" i="15"/>
  <c r="H137" i="15"/>
  <c r="H103" i="15"/>
  <c r="H104" i="15"/>
  <c r="Q138" i="15"/>
  <c r="I141" i="15"/>
  <c r="I19" i="15"/>
  <c r="J136" i="15"/>
  <c r="I137" i="15"/>
  <c r="I104" i="15"/>
  <c r="I4" i="15"/>
  <c r="J138" i="15"/>
  <c r="J110" i="15"/>
  <c r="L139" i="15"/>
  <c r="O33" i="15"/>
  <c r="H134" i="15"/>
  <c r="H48" i="15"/>
  <c r="H51" i="15" s="1"/>
  <c r="M48" i="15"/>
  <c r="M51" i="15" s="1"/>
  <c r="K136" i="15"/>
  <c r="K107" i="15"/>
  <c r="L128" i="15"/>
  <c r="L113" i="15"/>
  <c r="L112" i="15"/>
  <c r="L91" i="15"/>
  <c r="N46" i="15"/>
  <c r="H93" i="15"/>
  <c r="H112" i="15"/>
  <c r="L117" i="15"/>
  <c r="H114" i="15"/>
  <c r="O130" i="15"/>
  <c r="O117" i="15"/>
  <c r="H131" i="15"/>
  <c r="H118" i="15"/>
  <c r="L131" i="15"/>
  <c r="L118" i="15"/>
  <c r="P131" i="15"/>
  <c r="P118" i="15"/>
  <c r="O110" i="15"/>
  <c r="M120" i="15"/>
  <c r="M124" i="15"/>
  <c r="M123" i="15"/>
  <c r="M125" i="15"/>
  <c r="P142" i="14"/>
  <c r="L142" i="14"/>
  <c r="R141" i="14"/>
  <c r="Q141" i="14"/>
  <c r="P141" i="14"/>
  <c r="O141" i="14"/>
  <c r="N141" i="14"/>
  <c r="M141" i="14"/>
  <c r="J141" i="14"/>
  <c r="I141" i="14"/>
  <c r="H141" i="14"/>
  <c r="R140" i="14"/>
  <c r="Q140" i="14"/>
  <c r="P140" i="14"/>
  <c r="O140" i="14"/>
  <c r="N140" i="14"/>
  <c r="M140" i="14"/>
  <c r="L140" i="14"/>
  <c r="K140" i="14"/>
  <c r="J140" i="14"/>
  <c r="I140" i="14"/>
  <c r="H140" i="14"/>
  <c r="M139" i="14"/>
  <c r="O137" i="14"/>
  <c r="N132" i="14"/>
  <c r="Q131" i="14"/>
  <c r="R130" i="14"/>
  <c r="Q130" i="14"/>
  <c r="P130" i="14"/>
  <c r="O130" i="14"/>
  <c r="N130" i="14"/>
  <c r="M130" i="14"/>
  <c r="L130" i="14"/>
  <c r="K130" i="14"/>
  <c r="I130" i="14"/>
  <c r="H130" i="14"/>
  <c r="R129" i="14"/>
  <c r="Q129" i="14"/>
  <c r="P129" i="14"/>
  <c r="O129" i="14"/>
  <c r="N129" i="14"/>
  <c r="M129" i="14"/>
  <c r="L129" i="14"/>
  <c r="K129" i="14"/>
  <c r="J129" i="14"/>
  <c r="I129" i="14"/>
  <c r="H129" i="14"/>
  <c r="R128" i="14"/>
  <c r="N128" i="14"/>
  <c r="H128" i="14"/>
  <c r="N117" i="14"/>
  <c r="Q116" i="14"/>
  <c r="Q124" i="14" s="1"/>
  <c r="E114" i="14"/>
  <c r="R111" i="14"/>
  <c r="Q111" i="14"/>
  <c r="P111" i="14"/>
  <c r="O111" i="14"/>
  <c r="N111" i="14"/>
  <c r="M111" i="14"/>
  <c r="P108" i="14"/>
  <c r="L108" i="14"/>
  <c r="R105" i="14"/>
  <c r="N105" i="14"/>
  <c r="R104" i="14"/>
  <c r="N104" i="14"/>
  <c r="J104" i="14"/>
  <c r="R103" i="14"/>
  <c r="N103" i="14"/>
  <c r="J103" i="14"/>
  <c r="R101" i="14"/>
  <c r="Q101" i="14"/>
  <c r="P101" i="14"/>
  <c r="O101" i="14"/>
  <c r="N101" i="14"/>
  <c r="M101" i="14"/>
  <c r="L101" i="14"/>
  <c r="K101" i="14"/>
  <c r="J101" i="14"/>
  <c r="I101" i="14"/>
  <c r="H101" i="14"/>
  <c r="P98" i="14"/>
  <c r="P99" i="14" s="1"/>
  <c r="H98" i="14"/>
  <c r="P97" i="14"/>
  <c r="H97" i="14"/>
  <c r="R96" i="14"/>
  <c r="Q96" i="14"/>
  <c r="P96" i="14"/>
  <c r="O96" i="14"/>
  <c r="N96" i="14"/>
  <c r="M96" i="14"/>
  <c r="L96" i="14"/>
  <c r="K96" i="14"/>
  <c r="J96" i="14"/>
  <c r="I96" i="14"/>
  <c r="H96" i="14"/>
  <c r="R94" i="14"/>
  <c r="Q94" i="14"/>
  <c r="P94" i="14"/>
  <c r="O94" i="14"/>
  <c r="N94" i="14"/>
  <c r="M94" i="14"/>
  <c r="L94" i="14"/>
  <c r="K94" i="14"/>
  <c r="J94" i="14"/>
  <c r="I94" i="14"/>
  <c r="H94" i="14"/>
  <c r="R91" i="14"/>
  <c r="Q91" i="14"/>
  <c r="N91" i="14"/>
  <c r="M91" i="14"/>
  <c r="L91" i="14"/>
  <c r="R89" i="14"/>
  <c r="N89" i="14"/>
  <c r="L89" i="14"/>
  <c r="L90" i="14" s="1"/>
  <c r="I87" i="14"/>
  <c r="I95" i="14" s="1"/>
  <c r="H87" i="14"/>
  <c r="H95" i="14" s="1"/>
  <c r="R85" i="14"/>
  <c r="Q85" i="14"/>
  <c r="P85" i="14"/>
  <c r="O85" i="14"/>
  <c r="N85" i="14"/>
  <c r="M85" i="14"/>
  <c r="L85" i="14"/>
  <c r="K85" i="14"/>
  <c r="J85" i="14"/>
  <c r="I85" i="14"/>
  <c r="H85" i="14"/>
  <c r="R71" i="14"/>
  <c r="Q71" i="14"/>
  <c r="P71" i="14"/>
  <c r="O71" i="14"/>
  <c r="N71" i="14"/>
  <c r="M71" i="14"/>
  <c r="L71" i="14"/>
  <c r="K71" i="14"/>
  <c r="J71" i="14"/>
  <c r="I71" i="14"/>
  <c r="H71" i="14"/>
  <c r="I57" i="14"/>
  <c r="I73" i="14" s="1"/>
  <c r="H57" i="14"/>
  <c r="H73" i="14" s="1"/>
  <c r="R46" i="14"/>
  <c r="R134" i="14" s="1"/>
  <c r="N46" i="14"/>
  <c r="N48" i="14" s="1"/>
  <c r="N51" i="14" s="1"/>
  <c r="M46" i="14"/>
  <c r="M92" i="14" s="1"/>
  <c r="H46" i="14"/>
  <c r="H134" i="14" s="1"/>
  <c r="R41" i="14"/>
  <c r="R132" i="14" s="1"/>
  <c r="Q41" i="14"/>
  <c r="Q132" i="14" s="1"/>
  <c r="P41" i="14"/>
  <c r="P132" i="14" s="1"/>
  <c r="O41" i="14"/>
  <c r="O132" i="14" s="1"/>
  <c r="N41" i="14"/>
  <c r="M41" i="14"/>
  <c r="M132" i="14" s="1"/>
  <c r="L41" i="14"/>
  <c r="L132" i="14" s="1"/>
  <c r="K41" i="14"/>
  <c r="K132" i="14" s="1"/>
  <c r="J41" i="14"/>
  <c r="J132" i="14" s="1"/>
  <c r="I41" i="14"/>
  <c r="I132" i="14" s="1"/>
  <c r="H41" i="14"/>
  <c r="H132" i="14" s="1"/>
  <c r="J40" i="14"/>
  <c r="J38" i="14" s="1"/>
  <c r="J105" i="14" s="1"/>
  <c r="R38" i="14"/>
  <c r="Q38" i="14"/>
  <c r="Q105" i="14" s="1"/>
  <c r="P38" i="14"/>
  <c r="O38" i="14"/>
  <c r="O105" i="14" s="1"/>
  <c r="N38" i="14"/>
  <c r="M38" i="14"/>
  <c r="L38" i="14"/>
  <c r="K38" i="14"/>
  <c r="K131" i="14" s="1"/>
  <c r="I38" i="14"/>
  <c r="H38" i="14"/>
  <c r="J36" i="14"/>
  <c r="R33" i="14"/>
  <c r="Q33" i="14"/>
  <c r="P33" i="14"/>
  <c r="O33" i="14"/>
  <c r="O116" i="14" s="1"/>
  <c r="N33" i="14"/>
  <c r="M33" i="14"/>
  <c r="L33" i="14"/>
  <c r="L117" i="14" s="1"/>
  <c r="K33" i="14"/>
  <c r="I33" i="14"/>
  <c r="I116" i="14" s="1"/>
  <c r="H33" i="14"/>
  <c r="J32" i="14"/>
  <c r="J87" i="14" s="1"/>
  <c r="J95" i="14" s="1"/>
  <c r="I32" i="14"/>
  <c r="J28" i="14"/>
  <c r="H28" i="14"/>
  <c r="H27" i="14" s="1"/>
  <c r="H18" i="14" s="1"/>
  <c r="R27" i="14"/>
  <c r="Q27" i="14"/>
  <c r="P27" i="14"/>
  <c r="O27" i="14"/>
  <c r="N27" i="14"/>
  <c r="M27" i="14"/>
  <c r="M114" i="14" s="1"/>
  <c r="L27" i="14"/>
  <c r="K27" i="14"/>
  <c r="J27" i="14"/>
  <c r="I27" i="14"/>
  <c r="L24" i="14"/>
  <c r="L141" i="14" s="1"/>
  <c r="K24" i="14"/>
  <c r="K141" i="14" s="1"/>
  <c r="L21" i="14"/>
  <c r="K21" i="14"/>
  <c r="I21" i="14"/>
  <c r="R19" i="14"/>
  <c r="R139" i="14" s="1"/>
  <c r="Q19" i="14"/>
  <c r="P19" i="14"/>
  <c r="P139" i="14" s="1"/>
  <c r="O19" i="14"/>
  <c r="O97" i="14" s="1"/>
  <c r="O98" i="14" s="1"/>
  <c r="N19" i="14"/>
  <c r="N139" i="14" s="1"/>
  <c r="M19" i="14"/>
  <c r="M97" i="14" s="1"/>
  <c r="J19" i="14"/>
  <c r="J139" i="14" s="1"/>
  <c r="I19" i="14"/>
  <c r="I97" i="14" s="1"/>
  <c r="I98" i="14" s="1"/>
  <c r="H19" i="14"/>
  <c r="H139" i="14" s="1"/>
  <c r="Q18" i="14"/>
  <c r="P18" i="14"/>
  <c r="M18" i="14"/>
  <c r="J18" i="14"/>
  <c r="J31" i="14" s="1"/>
  <c r="L15" i="14"/>
  <c r="L111" i="14" s="1"/>
  <c r="K15" i="14"/>
  <c r="J15" i="14"/>
  <c r="J111" i="14" s="1"/>
  <c r="I15" i="14"/>
  <c r="I111" i="14" s="1"/>
  <c r="H15" i="14"/>
  <c r="H111" i="14" s="1"/>
  <c r="R10" i="14"/>
  <c r="R138" i="14" s="1"/>
  <c r="Q10" i="14"/>
  <c r="P10" i="14"/>
  <c r="P138" i="14" s="1"/>
  <c r="O10" i="14"/>
  <c r="N10" i="14"/>
  <c r="M10" i="14"/>
  <c r="L10" i="14"/>
  <c r="J10" i="14"/>
  <c r="J110" i="14" s="1"/>
  <c r="I10" i="14"/>
  <c r="H10" i="14"/>
  <c r="H138" i="14" s="1"/>
  <c r="R5" i="14"/>
  <c r="R137" i="14" s="1"/>
  <c r="Q5" i="14"/>
  <c r="P5" i="14"/>
  <c r="P103" i="14" s="1"/>
  <c r="O5" i="14"/>
  <c r="N5" i="14"/>
  <c r="N137" i="14" s="1"/>
  <c r="M5" i="14"/>
  <c r="M4" i="14" s="1"/>
  <c r="L5" i="14"/>
  <c r="K5" i="14"/>
  <c r="J5" i="14"/>
  <c r="J137" i="14" s="1"/>
  <c r="I5" i="14"/>
  <c r="H5" i="14"/>
  <c r="H103" i="14" s="1"/>
  <c r="O4" i="14"/>
  <c r="N4" i="14"/>
  <c r="N112" i="14" s="1"/>
  <c r="J4" i="14"/>
  <c r="J107" i="14" s="1"/>
  <c r="R109" i="24" l="1"/>
  <c r="R115" i="24" s="1"/>
  <c r="R119" i="24" s="1"/>
  <c r="R127" i="24" s="1"/>
  <c r="R106" i="24"/>
  <c r="R87" i="23"/>
  <c r="R95" i="23" s="1"/>
  <c r="R57" i="23"/>
  <c r="R73" i="23" s="1"/>
  <c r="Q109" i="23"/>
  <c r="Q115" i="23" s="1"/>
  <c r="Q119" i="23" s="1"/>
  <c r="Q127" i="23" s="1"/>
  <c r="Q106" i="23"/>
  <c r="Q106" i="22"/>
  <c r="Q109" i="22"/>
  <c r="Q115" i="22" s="1"/>
  <c r="Q119" i="22" s="1"/>
  <c r="Q127" i="22" s="1"/>
  <c r="R87" i="22"/>
  <c r="R95" i="22" s="1"/>
  <c r="R57" i="22"/>
  <c r="R73" i="22" s="1"/>
  <c r="Q109" i="21"/>
  <c r="Q115" i="21" s="1"/>
  <c r="Q119" i="21" s="1"/>
  <c r="Q127" i="21" s="1"/>
  <c r="Q106" i="21"/>
  <c r="R57" i="21"/>
  <c r="R73" i="21" s="1"/>
  <c r="R87" i="21"/>
  <c r="R95" i="21" s="1"/>
  <c r="O57" i="20"/>
  <c r="O73" i="20" s="1"/>
  <c r="O87" i="20"/>
  <c r="O95" i="20" s="1"/>
  <c r="P32" i="20"/>
  <c r="N109" i="20"/>
  <c r="N115" i="20" s="1"/>
  <c r="N119" i="20" s="1"/>
  <c r="N127" i="20" s="1"/>
  <c r="N106" i="20"/>
  <c r="O87" i="19"/>
  <c r="O95" i="19" s="1"/>
  <c r="O57" i="19"/>
  <c r="O73" i="19" s="1"/>
  <c r="P32" i="19"/>
  <c r="N109" i="19"/>
  <c r="N115" i="19" s="1"/>
  <c r="N119" i="19" s="1"/>
  <c r="N127" i="19" s="1"/>
  <c r="N106" i="19"/>
  <c r="N87" i="18"/>
  <c r="N95" i="18" s="1"/>
  <c r="N57" i="18"/>
  <c r="N73" i="18" s="1"/>
  <c r="O32" i="18"/>
  <c r="M106" i="18"/>
  <c r="M109" i="18"/>
  <c r="M115" i="18" s="1"/>
  <c r="M119" i="18" s="1"/>
  <c r="M127" i="18" s="1"/>
  <c r="L106" i="17"/>
  <c r="L109" i="17"/>
  <c r="L115" i="17" s="1"/>
  <c r="L119" i="17" s="1"/>
  <c r="L127" i="17" s="1"/>
  <c r="M87" i="17"/>
  <c r="M95" i="17" s="1"/>
  <c r="M57" i="17"/>
  <c r="M73" i="17" s="1"/>
  <c r="N32" i="17"/>
  <c r="Q132" i="16"/>
  <c r="Q105" i="16"/>
  <c r="Q131" i="16"/>
  <c r="Q118" i="16"/>
  <c r="J109" i="16"/>
  <c r="J115" i="16" s="1"/>
  <c r="J119" i="16" s="1"/>
  <c r="J127" i="16" s="1"/>
  <c r="J106" i="16"/>
  <c r="R132" i="16"/>
  <c r="R105" i="16"/>
  <c r="R131" i="16"/>
  <c r="R118" i="16"/>
  <c r="R89" i="16"/>
  <c r="R111" i="16"/>
  <c r="R10" i="16"/>
  <c r="O90" i="16"/>
  <c r="O102" i="16"/>
  <c r="M135" i="16"/>
  <c r="M52" i="16"/>
  <c r="K135" i="16"/>
  <c r="K52" i="16"/>
  <c r="Q46" i="16"/>
  <c r="N102" i="16"/>
  <c r="N90" i="16"/>
  <c r="R134" i="16"/>
  <c r="R92" i="16"/>
  <c r="R88" i="16"/>
  <c r="R48" i="16"/>
  <c r="R51" i="16" s="1"/>
  <c r="R93" i="16"/>
  <c r="O139" i="16"/>
  <c r="O97" i="16"/>
  <c r="O98" i="16" s="1"/>
  <c r="O136" i="16"/>
  <c r="O107" i="16"/>
  <c r="O134" i="16"/>
  <c r="O93" i="16"/>
  <c r="O48" i="16"/>
  <c r="O51" i="16" s="1"/>
  <c r="O88" i="16"/>
  <c r="O92" i="16"/>
  <c r="O112" i="16"/>
  <c r="Q125" i="16"/>
  <c r="Q121" i="16"/>
  <c r="Q123" i="16"/>
  <c r="Q122" i="16"/>
  <c r="Q120" i="16"/>
  <c r="Q124" i="16"/>
  <c r="O123" i="16"/>
  <c r="O125" i="16"/>
  <c r="O121" i="16"/>
  <c r="O120" i="16"/>
  <c r="O124" i="16"/>
  <c r="O122" i="16"/>
  <c r="H135" i="16"/>
  <c r="H52" i="16"/>
  <c r="Q89" i="16"/>
  <c r="N134" i="16"/>
  <c r="N92" i="16"/>
  <c r="N93" i="16"/>
  <c r="N48" i="16"/>
  <c r="N51" i="16" s="1"/>
  <c r="N88" i="16"/>
  <c r="L32" i="16"/>
  <c r="K57" i="16"/>
  <c r="K73" i="16" s="1"/>
  <c r="K87" i="16"/>
  <c r="K95" i="16" s="1"/>
  <c r="I135" i="16"/>
  <c r="I52" i="16"/>
  <c r="I125" i="16"/>
  <c r="I124" i="16"/>
  <c r="I123" i="16"/>
  <c r="R113" i="16"/>
  <c r="N100" i="16"/>
  <c r="N99" i="16"/>
  <c r="H124" i="16"/>
  <c r="J135" i="16"/>
  <c r="J52" i="16"/>
  <c r="N136" i="16"/>
  <c r="N107" i="16"/>
  <c r="Q138" i="16"/>
  <c r="Q4" i="16"/>
  <c r="P135" i="16"/>
  <c r="P30" i="16"/>
  <c r="P52" i="16" s="1"/>
  <c r="Q91" i="16"/>
  <c r="K102" i="15"/>
  <c r="K90" i="15"/>
  <c r="H123" i="15"/>
  <c r="H122" i="15"/>
  <c r="H124" i="15"/>
  <c r="H125" i="15"/>
  <c r="H121" i="15"/>
  <c r="H120" i="15"/>
  <c r="N100" i="15"/>
  <c r="N99" i="15"/>
  <c r="O99" i="15"/>
  <c r="Q131" i="15"/>
  <c r="P128" i="15"/>
  <c r="P113" i="15"/>
  <c r="P91" i="15"/>
  <c r="P112" i="15"/>
  <c r="P89" i="15"/>
  <c r="P46" i="15"/>
  <c r="N134" i="15"/>
  <c r="N93" i="15"/>
  <c r="N88" i="15"/>
  <c r="N92" i="15"/>
  <c r="N48" i="15"/>
  <c r="H135" i="15"/>
  <c r="H52" i="15"/>
  <c r="I97" i="15"/>
  <c r="I98" i="15" s="1"/>
  <c r="I139" i="15"/>
  <c r="I18" i="15"/>
  <c r="P117" i="15"/>
  <c r="J134" i="15"/>
  <c r="J93" i="15"/>
  <c r="J88" i="15"/>
  <c r="J92" i="15"/>
  <c r="J48" i="15"/>
  <c r="J51" i="15" s="1"/>
  <c r="I128" i="15"/>
  <c r="I116" i="15"/>
  <c r="I91" i="15"/>
  <c r="I113" i="15"/>
  <c r="I112" i="15"/>
  <c r="I89" i="15"/>
  <c r="I46" i="15"/>
  <c r="L27" i="15"/>
  <c r="L94" i="15"/>
  <c r="P116" i="15"/>
  <c r="K106" i="15"/>
  <c r="K109" i="15"/>
  <c r="K115" i="15" s="1"/>
  <c r="K119" i="15" s="1"/>
  <c r="K127" i="15" s="1"/>
  <c r="R111" i="15"/>
  <c r="R10" i="15"/>
  <c r="K122" i="15"/>
  <c r="K125" i="15"/>
  <c r="K121" i="15"/>
  <c r="K123" i="15"/>
  <c r="K124" i="15"/>
  <c r="K120" i="15"/>
  <c r="L135" i="15"/>
  <c r="L52" i="15"/>
  <c r="J125" i="15"/>
  <c r="J124" i="15"/>
  <c r="J120" i="15"/>
  <c r="J123" i="15"/>
  <c r="J121" i="15"/>
  <c r="J122" i="15"/>
  <c r="P99" i="15"/>
  <c r="P100" i="15"/>
  <c r="J139" i="15"/>
  <c r="J97" i="15"/>
  <c r="J98" i="15" s="1"/>
  <c r="J18" i="15"/>
  <c r="J31" i="15" s="1"/>
  <c r="L136" i="15"/>
  <c r="L107" i="15"/>
  <c r="N102" i="15"/>
  <c r="N90" i="15"/>
  <c r="Q129" i="15"/>
  <c r="Q33" i="15"/>
  <c r="Q116" i="15"/>
  <c r="R35" i="15"/>
  <c r="L87" i="15"/>
  <c r="L95" i="15" s="1"/>
  <c r="L57" i="15"/>
  <c r="L73" i="15" s="1"/>
  <c r="M32" i="15"/>
  <c r="O112" i="15"/>
  <c r="O128" i="15"/>
  <c r="O113" i="15"/>
  <c r="O46" i="15"/>
  <c r="O91" i="15"/>
  <c r="O89" i="15"/>
  <c r="Q136" i="15"/>
  <c r="Q107" i="15"/>
  <c r="J102" i="15"/>
  <c r="J90" i="15"/>
  <c r="K99" i="15"/>
  <c r="K100" i="15"/>
  <c r="J106" i="15"/>
  <c r="J109" i="15"/>
  <c r="J115" i="15" s="1"/>
  <c r="J119" i="15" s="1"/>
  <c r="J127" i="15" s="1"/>
  <c r="K134" i="15"/>
  <c r="K93" i="15"/>
  <c r="K92" i="15"/>
  <c r="K48" i="15"/>
  <c r="K51" i="15" s="1"/>
  <c r="K88" i="15"/>
  <c r="M136" i="15"/>
  <c r="M112" i="15"/>
  <c r="M31" i="15"/>
  <c r="M107" i="15"/>
  <c r="M135" i="15"/>
  <c r="M52" i="15"/>
  <c r="I136" i="15"/>
  <c r="I107" i="15"/>
  <c r="I31" i="15"/>
  <c r="O116" i="15"/>
  <c r="I110" i="15"/>
  <c r="I114" i="15"/>
  <c r="N125" i="15"/>
  <c r="N124" i="15"/>
  <c r="N120" i="15"/>
  <c r="N123" i="15"/>
  <c r="N122" i="15"/>
  <c r="N121" i="15"/>
  <c r="H99" i="15"/>
  <c r="H100" i="15"/>
  <c r="O123" i="14"/>
  <c r="O125" i="14"/>
  <c r="O121" i="14"/>
  <c r="O120" i="14"/>
  <c r="O124" i="14"/>
  <c r="O122" i="14"/>
  <c r="I109" i="14"/>
  <c r="I115" i="14" s="1"/>
  <c r="I119" i="14" s="1"/>
  <c r="I127" i="14" s="1"/>
  <c r="I106" i="14"/>
  <c r="J109" i="14"/>
  <c r="J115" i="14" s="1"/>
  <c r="J119" i="14" s="1"/>
  <c r="J127" i="14" s="1"/>
  <c r="J106" i="14"/>
  <c r="N135" i="14"/>
  <c r="N52" i="14"/>
  <c r="O99" i="14"/>
  <c r="I121" i="14"/>
  <c r="H109" i="14"/>
  <c r="H115" i="14" s="1"/>
  <c r="H119" i="14" s="1"/>
  <c r="H127" i="14" s="1"/>
  <c r="H106" i="14"/>
  <c r="H4" i="14"/>
  <c r="L137" i="14"/>
  <c r="L104" i="14"/>
  <c r="N110" i="14"/>
  <c r="N138" i="14"/>
  <c r="O142" i="14"/>
  <c r="O108" i="14"/>
  <c r="R48" i="14"/>
  <c r="R51" i="14" s="1"/>
  <c r="R92" i="14"/>
  <c r="I4" i="14"/>
  <c r="I120" i="14" s="1"/>
  <c r="I137" i="14"/>
  <c r="Q4" i="14"/>
  <c r="Q114" i="14" s="1"/>
  <c r="Q137" i="14"/>
  <c r="K128" i="14"/>
  <c r="K117" i="14"/>
  <c r="K91" i="14"/>
  <c r="K46" i="14"/>
  <c r="K116" i="14"/>
  <c r="J117" i="14"/>
  <c r="J33" i="14"/>
  <c r="P133" i="14"/>
  <c r="P131" i="14"/>
  <c r="P118" i="14"/>
  <c r="P105" i="14"/>
  <c r="I46" i="14"/>
  <c r="N88" i="14"/>
  <c r="H91" i="14"/>
  <c r="R93" i="14"/>
  <c r="L110" i="14"/>
  <c r="K19" i="14"/>
  <c r="I142" i="14"/>
  <c r="I108" i="14"/>
  <c r="I114" i="14"/>
  <c r="Q142" i="14"/>
  <c r="P116" i="14"/>
  <c r="P113" i="14"/>
  <c r="P117" i="14"/>
  <c r="H133" i="14"/>
  <c r="H131" i="14"/>
  <c r="H118" i="14"/>
  <c r="H105" i="14"/>
  <c r="P46" i="14"/>
  <c r="O89" i="14"/>
  <c r="N92" i="14"/>
  <c r="M103" i="14"/>
  <c r="K105" i="14"/>
  <c r="Q108" i="14"/>
  <c r="K113" i="14"/>
  <c r="O114" i="14"/>
  <c r="P128" i="14"/>
  <c r="I131" i="14"/>
  <c r="L138" i="14"/>
  <c r="L4" i="14"/>
  <c r="R4" i="14"/>
  <c r="K137" i="14"/>
  <c r="K103" i="14"/>
  <c r="K104" i="14"/>
  <c r="O103" i="14"/>
  <c r="O104" i="14"/>
  <c r="M138" i="14"/>
  <c r="M110" i="14"/>
  <c r="Q138" i="14"/>
  <c r="Q110" i="14"/>
  <c r="I18" i="14"/>
  <c r="N18" i="14"/>
  <c r="M98" i="14"/>
  <c r="Q97" i="14"/>
  <c r="Q98" i="14" s="1"/>
  <c r="Q139" i="14"/>
  <c r="L19" i="14"/>
  <c r="J142" i="14"/>
  <c r="J114" i="14"/>
  <c r="N142" i="14"/>
  <c r="N114" i="14"/>
  <c r="N108" i="14"/>
  <c r="R142" i="14"/>
  <c r="R114" i="14"/>
  <c r="R108" i="14"/>
  <c r="N31" i="14"/>
  <c r="H116" i="14"/>
  <c r="H113" i="14"/>
  <c r="H117" i="14"/>
  <c r="H112" i="14"/>
  <c r="M117" i="14"/>
  <c r="M112" i="14"/>
  <c r="M128" i="14"/>
  <c r="M116" i="14"/>
  <c r="M89" i="14"/>
  <c r="M113" i="14"/>
  <c r="Q117" i="14"/>
  <c r="Q112" i="14"/>
  <c r="Q128" i="14"/>
  <c r="Q89" i="14"/>
  <c r="I105" i="14"/>
  <c r="L46" i="14"/>
  <c r="Q46" i="14"/>
  <c r="J57" i="14"/>
  <c r="J73" i="14" s="1"/>
  <c r="K89" i="14"/>
  <c r="P89" i="14"/>
  <c r="P91" i="14"/>
  <c r="N93" i="14"/>
  <c r="J97" i="14"/>
  <c r="J98" i="14" s="1"/>
  <c r="I99" i="14"/>
  <c r="L102" i="14"/>
  <c r="I103" i="14"/>
  <c r="I104" i="14"/>
  <c r="Q104" i="14"/>
  <c r="J108" i="14"/>
  <c r="L112" i="14"/>
  <c r="Q113" i="14"/>
  <c r="I118" i="14"/>
  <c r="O131" i="14"/>
  <c r="I133" i="14"/>
  <c r="N134" i="14"/>
  <c r="M137" i="14"/>
  <c r="I139" i="14"/>
  <c r="H137" i="14"/>
  <c r="H104" i="14"/>
  <c r="R102" i="14"/>
  <c r="R90" i="14"/>
  <c r="R97" i="14"/>
  <c r="R98" i="14" s="1"/>
  <c r="R110" i="14"/>
  <c r="Q125" i="14"/>
  <c r="Q121" i="14"/>
  <c r="Q123" i="14"/>
  <c r="Q120" i="14"/>
  <c r="Q122" i="14"/>
  <c r="K118" i="14"/>
  <c r="K133" i="14"/>
  <c r="J136" i="14"/>
  <c r="P137" i="14"/>
  <c r="P104" i="14"/>
  <c r="H114" i="14"/>
  <c r="H142" i="14"/>
  <c r="H108" i="14"/>
  <c r="I117" i="14"/>
  <c r="I128" i="14"/>
  <c r="I89" i="14"/>
  <c r="O133" i="14"/>
  <c r="O118" i="14"/>
  <c r="M134" i="14"/>
  <c r="M93" i="14"/>
  <c r="M88" i="14"/>
  <c r="M136" i="14"/>
  <c r="M107" i="14"/>
  <c r="O139" i="14"/>
  <c r="O18" i="14"/>
  <c r="L133" i="14"/>
  <c r="L131" i="14"/>
  <c r="L118" i="14"/>
  <c r="L105" i="14"/>
  <c r="N102" i="14"/>
  <c r="N90" i="14"/>
  <c r="N97" i="14"/>
  <c r="N98" i="14" s="1"/>
  <c r="L103" i="14"/>
  <c r="Q103" i="14"/>
  <c r="I113" i="14"/>
  <c r="Q118" i="14"/>
  <c r="J130" i="14"/>
  <c r="Q133" i="14"/>
  <c r="J138" i="14"/>
  <c r="N107" i="14"/>
  <c r="N136" i="14"/>
  <c r="I138" i="14"/>
  <c r="I110" i="14"/>
  <c r="K111" i="14"/>
  <c r="K10" i="14"/>
  <c r="K142" i="14"/>
  <c r="K108" i="14"/>
  <c r="J131" i="14"/>
  <c r="J118" i="14"/>
  <c r="J133" i="14"/>
  <c r="H92" i="14"/>
  <c r="H88" i="14"/>
  <c r="H48" i="14"/>
  <c r="H51" i="14" s="1"/>
  <c r="H93" i="14"/>
  <c r="M48" i="14"/>
  <c r="M51" i="14" s="1"/>
  <c r="R88" i="14"/>
  <c r="O136" i="14"/>
  <c r="O107" i="14"/>
  <c r="O31" i="14"/>
  <c r="K32" i="14"/>
  <c r="O128" i="14"/>
  <c r="O117" i="14"/>
  <c r="O112" i="14"/>
  <c r="O113" i="14"/>
  <c r="O91" i="14"/>
  <c r="O46" i="14"/>
  <c r="H89" i="14"/>
  <c r="P100" i="14"/>
  <c r="M104" i="14"/>
  <c r="P4" i="14"/>
  <c r="R18" i="14"/>
  <c r="M142" i="14"/>
  <c r="M108" i="14"/>
  <c r="M31" i="14"/>
  <c r="L116" i="14"/>
  <c r="L113" i="14"/>
  <c r="L128" i="14"/>
  <c r="M131" i="14"/>
  <c r="M105" i="14"/>
  <c r="M133" i="14"/>
  <c r="M118" i="14"/>
  <c r="I91" i="14"/>
  <c r="H99" i="14"/>
  <c r="O110" i="14"/>
  <c r="O138" i="14"/>
  <c r="L114" i="14"/>
  <c r="P114" i="14"/>
  <c r="N113" i="14"/>
  <c r="N116" i="14"/>
  <c r="R113" i="14"/>
  <c r="R116" i="14"/>
  <c r="N131" i="14"/>
  <c r="N118" i="14"/>
  <c r="N133" i="14"/>
  <c r="R131" i="14"/>
  <c r="R118" i="14"/>
  <c r="R133" i="14"/>
  <c r="R112" i="14"/>
  <c r="R117" i="14"/>
  <c r="M142" i="13"/>
  <c r="I142" i="13"/>
  <c r="R141" i="13"/>
  <c r="Q141" i="13"/>
  <c r="P141" i="13"/>
  <c r="O141" i="13"/>
  <c r="N141" i="13"/>
  <c r="M141" i="13"/>
  <c r="L141" i="13"/>
  <c r="K141" i="13"/>
  <c r="J141" i="13"/>
  <c r="I141" i="13"/>
  <c r="H141" i="13"/>
  <c r="R140" i="13"/>
  <c r="Q140" i="13"/>
  <c r="P140" i="13"/>
  <c r="O140" i="13"/>
  <c r="N140" i="13"/>
  <c r="M140" i="13"/>
  <c r="L140" i="13"/>
  <c r="K140" i="13"/>
  <c r="J140" i="13"/>
  <c r="I140" i="13"/>
  <c r="H140" i="13"/>
  <c r="R139" i="13"/>
  <c r="N139" i="13"/>
  <c r="P133" i="13"/>
  <c r="R130" i="13"/>
  <c r="Q130" i="13"/>
  <c r="P130" i="13"/>
  <c r="O130" i="13"/>
  <c r="N130" i="13"/>
  <c r="M130" i="13"/>
  <c r="L130" i="13"/>
  <c r="K130" i="13"/>
  <c r="J130" i="13"/>
  <c r="I130" i="13"/>
  <c r="H130" i="13"/>
  <c r="R129" i="13"/>
  <c r="Q129" i="13"/>
  <c r="P129" i="13"/>
  <c r="O129" i="13"/>
  <c r="N129" i="13"/>
  <c r="M129" i="13"/>
  <c r="L129" i="13"/>
  <c r="K129" i="13"/>
  <c r="J129" i="13"/>
  <c r="I129" i="13"/>
  <c r="H129" i="13"/>
  <c r="K128" i="13"/>
  <c r="N117" i="13"/>
  <c r="J117" i="13"/>
  <c r="E114" i="13"/>
  <c r="O113" i="13"/>
  <c r="N113" i="13"/>
  <c r="R111" i="13"/>
  <c r="Q111" i="13"/>
  <c r="P111" i="13"/>
  <c r="O111" i="13"/>
  <c r="N111" i="13"/>
  <c r="M111" i="13"/>
  <c r="L111" i="13"/>
  <c r="K111" i="13"/>
  <c r="J111" i="13"/>
  <c r="I111" i="13"/>
  <c r="H111" i="13"/>
  <c r="M108" i="13"/>
  <c r="I106" i="13"/>
  <c r="P105" i="13"/>
  <c r="O104" i="13"/>
  <c r="K104" i="13"/>
  <c r="O103" i="13"/>
  <c r="K103" i="13"/>
  <c r="J103" i="13"/>
  <c r="R101" i="13"/>
  <c r="Q101" i="13"/>
  <c r="P101" i="13"/>
  <c r="O101" i="13"/>
  <c r="N101" i="13"/>
  <c r="M101" i="13"/>
  <c r="L101" i="13"/>
  <c r="K101" i="13"/>
  <c r="J101" i="13"/>
  <c r="I101" i="13"/>
  <c r="H101" i="13"/>
  <c r="N98" i="13"/>
  <c r="N99" i="13" s="1"/>
  <c r="I98" i="13"/>
  <c r="N97" i="13"/>
  <c r="J97" i="13"/>
  <c r="J98" i="13" s="1"/>
  <c r="I97" i="13"/>
  <c r="R96" i="13"/>
  <c r="Q96" i="13"/>
  <c r="P96" i="13"/>
  <c r="O96" i="13"/>
  <c r="N96" i="13"/>
  <c r="M96" i="13"/>
  <c r="L96" i="13"/>
  <c r="K96" i="13"/>
  <c r="J96" i="13"/>
  <c r="I96" i="13"/>
  <c r="H96" i="13"/>
  <c r="H95" i="13"/>
  <c r="M94" i="13"/>
  <c r="K94" i="13"/>
  <c r="J94" i="13"/>
  <c r="I94" i="13"/>
  <c r="H94" i="13"/>
  <c r="P91" i="13"/>
  <c r="K91" i="13"/>
  <c r="Q89" i="13"/>
  <c r="Q102" i="13" s="1"/>
  <c r="L89" i="13"/>
  <c r="H87" i="13"/>
  <c r="R85" i="13"/>
  <c r="Q85" i="13"/>
  <c r="P85" i="13"/>
  <c r="O85" i="13"/>
  <c r="N85" i="13"/>
  <c r="M85" i="13"/>
  <c r="L85" i="13"/>
  <c r="K85" i="13"/>
  <c r="J85" i="13"/>
  <c r="I85" i="13"/>
  <c r="H85" i="13"/>
  <c r="H73" i="13"/>
  <c r="R71" i="13"/>
  <c r="Q71" i="13"/>
  <c r="P71" i="13"/>
  <c r="O71" i="13"/>
  <c r="N71" i="13"/>
  <c r="M71" i="13"/>
  <c r="L71" i="13"/>
  <c r="K71" i="13"/>
  <c r="J71" i="13"/>
  <c r="I71" i="13"/>
  <c r="H71" i="13"/>
  <c r="I57" i="13"/>
  <c r="I73" i="13" s="1"/>
  <c r="H57" i="13"/>
  <c r="Q46" i="13"/>
  <c r="N46" i="13"/>
  <c r="I46" i="13"/>
  <c r="O43" i="13"/>
  <c r="N43" i="13"/>
  <c r="R41" i="13"/>
  <c r="R132" i="13" s="1"/>
  <c r="Q41" i="13"/>
  <c r="Q132" i="13" s="1"/>
  <c r="P41" i="13"/>
  <c r="P132" i="13" s="1"/>
  <c r="O41" i="13"/>
  <c r="N41" i="13"/>
  <c r="N132" i="13" s="1"/>
  <c r="M41" i="13"/>
  <c r="M132" i="13" s="1"/>
  <c r="L41" i="13"/>
  <c r="L132" i="13" s="1"/>
  <c r="K41" i="13"/>
  <c r="J41" i="13"/>
  <c r="J132" i="13" s="1"/>
  <c r="I41" i="13"/>
  <c r="I132" i="13" s="1"/>
  <c r="H41" i="13"/>
  <c r="H132" i="13" s="1"/>
  <c r="R38" i="13"/>
  <c r="Q38" i="13"/>
  <c r="P38" i="13"/>
  <c r="O38" i="13"/>
  <c r="O46" i="13" s="1"/>
  <c r="O48" i="13" s="1"/>
  <c r="O51" i="13" s="1"/>
  <c r="N38" i="13"/>
  <c r="M38" i="13"/>
  <c r="L38" i="13"/>
  <c r="K38" i="13"/>
  <c r="J38" i="13"/>
  <c r="I38" i="13"/>
  <c r="H38" i="13"/>
  <c r="R33" i="13"/>
  <c r="Q33" i="13"/>
  <c r="P33" i="13"/>
  <c r="O33" i="13"/>
  <c r="N33" i="13"/>
  <c r="N89" i="13" s="1"/>
  <c r="M33" i="13"/>
  <c r="L33" i="13"/>
  <c r="K33" i="13"/>
  <c r="J33" i="13"/>
  <c r="I33" i="13"/>
  <c r="H33" i="13"/>
  <c r="I32" i="13"/>
  <c r="I87" i="13" s="1"/>
  <c r="I95" i="13" s="1"/>
  <c r="I109" i="13" s="1"/>
  <c r="I115" i="13" s="1"/>
  <c r="I119" i="13" s="1"/>
  <c r="I127" i="13" s="1"/>
  <c r="L29" i="13"/>
  <c r="M27" i="13"/>
  <c r="K27" i="13"/>
  <c r="J27" i="13"/>
  <c r="I27" i="13"/>
  <c r="H27" i="13"/>
  <c r="L21" i="13"/>
  <c r="K21" i="13"/>
  <c r="R19" i="13"/>
  <c r="R97" i="13" s="1"/>
  <c r="R98" i="13" s="1"/>
  <c r="Q19" i="13"/>
  <c r="Q139" i="13" s="1"/>
  <c r="P19" i="13"/>
  <c r="O19" i="13"/>
  <c r="N19" i="13"/>
  <c r="M19" i="13"/>
  <c r="M139" i="13" s="1"/>
  <c r="L19" i="13"/>
  <c r="K19" i="13"/>
  <c r="J19" i="13"/>
  <c r="J139" i="13" s="1"/>
  <c r="I19" i="13"/>
  <c r="I139" i="13" s="1"/>
  <c r="H19" i="13"/>
  <c r="J18" i="13"/>
  <c r="R10" i="13"/>
  <c r="Q10" i="13"/>
  <c r="P10" i="13"/>
  <c r="P138" i="13" s="1"/>
  <c r="O10" i="13"/>
  <c r="O138" i="13" s="1"/>
  <c r="N10" i="13"/>
  <c r="M10" i="13"/>
  <c r="L10" i="13"/>
  <c r="K10" i="13"/>
  <c r="K138" i="13" s="1"/>
  <c r="J10" i="13"/>
  <c r="I10" i="13"/>
  <c r="H10" i="13"/>
  <c r="H138" i="13" s="1"/>
  <c r="R5" i="13"/>
  <c r="Q5" i="13"/>
  <c r="P5" i="13"/>
  <c r="P4" i="13" s="1"/>
  <c r="O5" i="13"/>
  <c r="O137" i="13" s="1"/>
  <c r="N5" i="13"/>
  <c r="N103" i="13" s="1"/>
  <c r="M5" i="13"/>
  <c r="L5" i="13"/>
  <c r="K5" i="13"/>
  <c r="K137" i="13" s="1"/>
  <c r="J5" i="13"/>
  <c r="I5" i="13"/>
  <c r="H5" i="13"/>
  <c r="H4" i="13" s="1"/>
  <c r="O4" i="13"/>
  <c r="K4" i="13"/>
  <c r="R106" i="23" l="1"/>
  <c r="R109" i="23"/>
  <c r="R115" i="23" s="1"/>
  <c r="R119" i="23" s="1"/>
  <c r="R127" i="23" s="1"/>
  <c r="R106" i="22"/>
  <c r="R109" i="22"/>
  <c r="R115" i="22" s="1"/>
  <c r="R119" i="22" s="1"/>
  <c r="R127" i="22" s="1"/>
  <c r="R109" i="21"/>
  <c r="R115" i="21" s="1"/>
  <c r="R119" i="21" s="1"/>
  <c r="R127" i="21" s="1"/>
  <c r="R106" i="21"/>
  <c r="P57" i="20"/>
  <c r="P73" i="20" s="1"/>
  <c r="P87" i="20"/>
  <c r="P95" i="20" s="1"/>
  <c r="Q32" i="20"/>
  <c r="O106" i="20"/>
  <c r="O109" i="20"/>
  <c r="O115" i="20" s="1"/>
  <c r="O119" i="20" s="1"/>
  <c r="O127" i="20" s="1"/>
  <c r="P57" i="19"/>
  <c r="P73" i="19" s="1"/>
  <c r="P87" i="19"/>
  <c r="P95" i="19" s="1"/>
  <c r="Q32" i="19"/>
  <c r="O106" i="19"/>
  <c r="O109" i="19"/>
  <c r="O115" i="19" s="1"/>
  <c r="O119" i="19" s="1"/>
  <c r="O127" i="19" s="1"/>
  <c r="P32" i="18"/>
  <c r="O87" i="18"/>
  <c r="O95" i="18" s="1"/>
  <c r="O57" i="18"/>
  <c r="O73" i="18" s="1"/>
  <c r="N109" i="18"/>
  <c r="N115" i="18" s="1"/>
  <c r="N119" i="18" s="1"/>
  <c r="N127" i="18" s="1"/>
  <c r="N106" i="18"/>
  <c r="M106" i="17"/>
  <c r="M109" i="17"/>
  <c r="M115" i="17" s="1"/>
  <c r="M119" i="17" s="1"/>
  <c r="M127" i="17" s="1"/>
  <c r="O32" i="17"/>
  <c r="N87" i="17"/>
  <c r="N95" i="17" s="1"/>
  <c r="N57" i="17"/>
  <c r="N73" i="17" s="1"/>
  <c r="L57" i="16"/>
  <c r="L73" i="16" s="1"/>
  <c r="L87" i="16"/>
  <c r="L95" i="16" s="1"/>
  <c r="M32" i="16"/>
  <c r="O135" i="16"/>
  <c r="O30" i="16"/>
  <c r="O52" i="16" s="1"/>
  <c r="Q134" i="16"/>
  <c r="Q93" i="16"/>
  <c r="Q92" i="16"/>
  <c r="Q48" i="16"/>
  <c r="Q51" i="16" s="1"/>
  <c r="Q88" i="16"/>
  <c r="R102" i="16"/>
  <c r="R90" i="16"/>
  <c r="R100" i="16"/>
  <c r="Q136" i="16"/>
  <c r="Q107" i="16"/>
  <c r="Q112" i="16"/>
  <c r="Q110" i="16"/>
  <c r="K109" i="16"/>
  <c r="K115" i="16" s="1"/>
  <c r="K119" i="16" s="1"/>
  <c r="K127" i="16" s="1"/>
  <c r="K106" i="16"/>
  <c r="N135" i="16"/>
  <c r="N30" i="16"/>
  <c r="Q102" i="16"/>
  <c r="Q90" i="16"/>
  <c r="Q100" i="16"/>
  <c r="R135" i="16"/>
  <c r="R30" i="16"/>
  <c r="R52" i="16" s="1"/>
  <c r="O99" i="16"/>
  <c r="O100" i="16"/>
  <c r="R138" i="16"/>
  <c r="R110" i="16"/>
  <c r="R4" i="16"/>
  <c r="Q128" i="15"/>
  <c r="Q113" i="15"/>
  <c r="Q112" i="15"/>
  <c r="Q117" i="15"/>
  <c r="Q91" i="15"/>
  <c r="Q89" i="15"/>
  <c r="Q46" i="15"/>
  <c r="Q99" i="15"/>
  <c r="J100" i="15"/>
  <c r="J99" i="15"/>
  <c r="R138" i="15"/>
  <c r="R4" i="15"/>
  <c r="R110" i="15" s="1"/>
  <c r="P123" i="15"/>
  <c r="P122" i="15"/>
  <c r="P124" i="15"/>
  <c r="P125" i="15"/>
  <c r="P121" i="15"/>
  <c r="P120" i="15"/>
  <c r="I90" i="15"/>
  <c r="I102" i="15"/>
  <c r="O122" i="15"/>
  <c r="O125" i="15"/>
  <c r="O121" i="15"/>
  <c r="O124" i="15"/>
  <c r="O120" i="15"/>
  <c r="O123" i="15"/>
  <c r="O102" i="15"/>
  <c r="O90" i="15"/>
  <c r="L109" i="15"/>
  <c r="L115" i="15" s="1"/>
  <c r="L119" i="15" s="1"/>
  <c r="L127" i="15" s="1"/>
  <c r="L106" i="15"/>
  <c r="N30" i="15"/>
  <c r="N51" i="15"/>
  <c r="N135" i="15" s="1"/>
  <c r="O100" i="15"/>
  <c r="R129" i="15"/>
  <c r="R33" i="15"/>
  <c r="R116" i="15" s="1"/>
  <c r="L114" i="15"/>
  <c r="L142" i="15"/>
  <c r="L108" i="15"/>
  <c r="L18" i="15"/>
  <c r="L31" i="15" s="1"/>
  <c r="J135" i="15"/>
  <c r="J52" i="15"/>
  <c r="I100" i="15"/>
  <c r="I99" i="15"/>
  <c r="P134" i="15"/>
  <c r="P48" i="15"/>
  <c r="P93" i="15"/>
  <c r="P92" i="15"/>
  <c r="P88" i="15"/>
  <c r="O134" i="15"/>
  <c r="O93" i="15"/>
  <c r="O92" i="15"/>
  <c r="O48" i="15"/>
  <c r="O88" i="15"/>
  <c r="M87" i="15"/>
  <c r="M95" i="15" s="1"/>
  <c r="N32" i="15"/>
  <c r="M57" i="15"/>
  <c r="M73" i="15" s="1"/>
  <c r="Q124" i="15"/>
  <c r="Q123" i="15"/>
  <c r="Q121" i="15"/>
  <c r="Q120" i="15"/>
  <c r="Q122" i="15"/>
  <c r="Q125" i="15"/>
  <c r="I134" i="15"/>
  <c r="I92" i="15"/>
  <c r="I88" i="15"/>
  <c r="I93" i="15"/>
  <c r="I48" i="15"/>
  <c r="I51" i="15" s="1"/>
  <c r="P102" i="15"/>
  <c r="P90" i="15"/>
  <c r="K135" i="15"/>
  <c r="K52" i="15"/>
  <c r="I124" i="15"/>
  <c r="I123" i="15"/>
  <c r="I122" i="15"/>
  <c r="I125" i="15"/>
  <c r="I121" i="15"/>
  <c r="I120" i="15"/>
  <c r="H102" i="14"/>
  <c r="H90" i="14"/>
  <c r="N99" i="14"/>
  <c r="N100" i="14"/>
  <c r="P136" i="14"/>
  <c r="P107" i="14"/>
  <c r="P31" i="14"/>
  <c r="P102" i="14"/>
  <c r="P90" i="14"/>
  <c r="L93" i="14"/>
  <c r="L134" i="14"/>
  <c r="L92" i="14"/>
  <c r="L88" i="14"/>
  <c r="L48" i="14"/>
  <c r="L51" i="14" s="1"/>
  <c r="M125" i="14"/>
  <c r="M121" i="14"/>
  <c r="M123" i="14"/>
  <c r="M124" i="14"/>
  <c r="M122" i="14"/>
  <c r="M120" i="14"/>
  <c r="M99" i="14"/>
  <c r="M100" i="14"/>
  <c r="R107" i="14"/>
  <c r="R136" i="14"/>
  <c r="R31" i="14"/>
  <c r="I134" i="14"/>
  <c r="I93" i="14"/>
  <c r="I92" i="14"/>
  <c r="I88" i="14"/>
  <c r="I48" i="14"/>
  <c r="I51" i="14" s="1"/>
  <c r="N122" i="14"/>
  <c r="N124" i="14"/>
  <c r="N120" i="14"/>
  <c r="N121" i="14"/>
  <c r="N123" i="14"/>
  <c r="N125" i="14"/>
  <c r="H135" i="14"/>
  <c r="H52" i="14"/>
  <c r="I112" i="14"/>
  <c r="R99" i="14"/>
  <c r="R100" i="14"/>
  <c r="J99" i="14"/>
  <c r="K102" i="14"/>
  <c r="K90" i="14"/>
  <c r="L139" i="14"/>
  <c r="L97" i="14"/>
  <c r="L98" i="14" s="1"/>
  <c r="L18" i="14"/>
  <c r="L136" i="14"/>
  <c r="L31" i="14"/>
  <c r="L107" i="14"/>
  <c r="P112" i="14"/>
  <c r="J113" i="14"/>
  <c r="J116" i="14"/>
  <c r="J112" i="14"/>
  <c r="J128" i="14"/>
  <c r="J91" i="14"/>
  <c r="J89" i="14"/>
  <c r="J100" i="14" s="1"/>
  <c r="J46" i="14"/>
  <c r="H107" i="14"/>
  <c r="H110" i="14"/>
  <c r="H136" i="14"/>
  <c r="H31" i="14"/>
  <c r="I122" i="14"/>
  <c r="K87" i="14"/>
  <c r="K95" i="14" s="1"/>
  <c r="K57" i="14"/>
  <c r="K73" i="14" s="1"/>
  <c r="L32" i="14"/>
  <c r="K138" i="14"/>
  <c r="K4" i="14"/>
  <c r="K110" i="14" s="1"/>
  <c r="P110" i="14"/>
  <c r="Q102" i="14"/>
  <c r="Q90" i="14"/>
  <c r="K139" i="14"/>
  <c r="K18" i="14"/>
  <c r="K97" i="14"/>
  <c r="K98" i="14" s="1"/>
  <c r="Q136" i="14"/>
  <c r="Q107" i="14"/>
  <c r="Q31" i="14"/>
  <c r="R135" i="14"/>
  <c r="R52" i="14"/>
  <c r="R122" i="14"/>
  <c r="R124" i="14"/>
  <c r="R120" i="14"/>
  <c r="R125" i="14"/>
  <c r="R121" i="14"/>
  <c r="R123" i="14"/>
  <c r="L124" i="14"/>
  <c r="L120" i="14"/>
  <c r="L122" i="14"/>
  <c r="L121" i="14"/>
  <c r="L125" i="14"/>
  <c r="L123" i="14"/>
  <c r="M135" i="14"/>
  <c r="M52" i="14"/>
  <c r="I102" i="14"/>
  <c r="I90" i="14"/>
  <c r="Q134" i="14"/>
  <c r="Q93" i="14"/>
  <c r="Q92" i="14"/>
  <c r="Q88" i="14"/>
  <c r="Q48" i="14"/>
  <c r="Q51" i="14" s="1"/>
  <c r="M102" i="14"/>
  <c r="M90" i="14"/>
  <c r="H124" i="14"/>
  <c r="H120" i="14"/>
  <c r="H122" i="14"/>
  <c r="H123" i="14"/>
  <c r="H125" i="14"/>
  <c r="H121" i="14"/>
  <c r="Q100" i="14"/>
  <c r="Q99" i="14"/>
  <c r="O102" i="14"/>
  <c r="O90" i="14"/>
  <c r="K123" i="14"/>
  <c r="K125" i="14"/>
  <c r="K121" i="14"/>
  <c r="K122" i="14"/>
  <c r="K124" i="14"/>
  <c r="K120" i="14"/>
  <c r="O100" i="14"/>
  <c r="O134" i="14"/>
  <c r="O92" i="14"/>
  <c r="O48" i="14"/>
  <c r="O51" i="14" s="1"/>
  <c r="O93" i="14"/>
  <c r="O88" i="14"/>
  <c r="P92" i="14"/>
  <c r="P88" i="14"/>
  <c r="P48" i="14"/>
  <c r="P51" i="14" s="1"/>
  <c r="P93" i="14"/>
  <c r="P134" i="14"/>
  <c r="P124" i="14"/>
  <c r="P120" i="14"/>
  <c r="P122" i="14"/>
  <c r="P123" i="14"/>
  <c r="P125" i="14"/>
  <c r="P121" i="14"/>
  <c r="H100" i="14"/>
  <c r="K134" i="14"/>
  <c r="K92" i="14"/>
  <c r="K88" i="14"/>
  <c r="K48" i="14"/>
  <c r="K51" i="14" s="1"/>
  <c r="K93" i="14"/>
  <c r="I136" i="14"/>
  <c r="I107" i="14"/>
  <c r="I31" i="14"/>
  <c r="I100" i="14"/>
  <c r="H136" i="13"/>
  <c r="H107" i="13"/>
  <c r="P136" i="13"/>
  <c r="P107" i="13"/>
  <c r="P110" i="13"/>
  <c r="O135" i="13"/>
  <c r="O30" i="13"/>
  <c r="K107" i="13"/>
  <c r="K136" i="13"/>
  <c r="K110" i="13"/>
  <c r="L103" i="13"/>
  <c r="L137" i="13"/>
  <c r="L104" i="13"/>
  <c r="I138" i="13"/>
  <c r="Q110" i="13"/>
  <c r="Q138" i="13"/>
  <c r="L94" i="13"/>
  <c r="L27" i="13"/>
  <c r="L18" i="13" s="1"/>
  <c r="N90" i="13"/>
  <c r="N102" i="13"/>
  <c r="N134" i="13"/>
  <c r="N92" i="13"/>
  <c r="N88" i="13"/>
  <c r="N93" i="13"/>
  <c r="H109" i="13"/>
  <c r="H115" i="13" s="1"/>
  <c r="H119" i="13" s="1"/>
  <c r="H127" i="13" s="1"/>
  <c r="H106" i="13"/>
  <c r="I99" i="13"/>
  <c r="L4" i="13"/>
  <c r="M137" i="13"/>
  <c r="M103" i="13"/>
  <c r="M104" i="13"/>
  <c r="M4" i="13"/>
  <c r="J138" i="13"/>
  <c r="R138" i="13"/>
  <c r="R100" i="13"/>
  <c r="R99" i="13"/>
  <c r="Q134" i="13"/>
  <c r="Q93" i="13"/>
  <c r="Q92" i="13"/>
  <c r="Q48" i="13"/>
  <c r="Q51" i="13" s="1"/>
  <c r="N48" i="13"/>
  <c r="N51" i="13" s="1"/>
  <c r="O107" i="13"/>
  <c r="O136" i="13"/>
  <c r="O110" i="13"/>
  <c r="K139" i="13"/>
  <c r="K97" i="13"/>
  <c r="K98" i="13" s="1"/>
  <c r="O139" i="13"/>
  <c r="O97" i="13"/>
  <c r="O98" i="13" s="1"/>
  <c r="J142" i="13"/>
  <c r="J108" i="13"/>
  <c r="H117" i="13"/>
  <c r="H112" i="13"/>
  <c r="H113" i="13"/>
  <c r="H116" i="13"/>
  <c r="H89" i="13"/>
  <c r="H128" i="13"/>
  <c r="H46" i="13"/>
  <c r="H91" i="13"/>
  <c r="L117" i="13"/>
  <c r="L112" i="13"/>
  <c r="L113" i="13"/>
  <c r="L128" i="13"/>
  <c r="L116" i="13"/>
  <c r="L46" i="13"/>
  <c r="L91" i="13"/>
  <c r="P117" i="13"/>
  <c r="P112" i="13"/>
  <c r="P113" i="13"/>
  <c r="P116" i="13"/>
  <c r="P128" i="13"/>
  <c r="P89" i="13"/>
  <c r="P46" i="13"/>
  <c r="I133" i="13"/>
  <c r="I131" i="13"/>
  <c r="I118" i="13"/>
  <c r="I105" i="13"/>
  <c r="M133" i="13"/>
  <c r="M131" i="13"/>
  <c r="M118" i="13"/>
  <c r="M105" i="13"/>
  <c r="Q133" i="13"/>
  <c r="Q131" i="13"/>
  <c r="Q118" i="13"/>
  <c r="Q105" i="13"/>
  <c r="J46" i="13"/>
  <c r="R46" i="13"/>
  <c r="J99" i="13"/>
  <c r="K18" i="13"/>
  <c r="K31" i="13" s="1"/>
  <c r="H139" i="13"/>
  <c r="H97" i="13"/>
  <c r="H98" i="13" s="1"/>
  <c r="H18" i="13"/>
  <c r="H31" i="13" s="1"/>
  <c r="L139" i="13"/>
  <c r="L97" i="13"/>
  <c r="L98" i="13" s="1"/>
  <c r="P139" i="13"/>
  <c r="P97" i="13"/>
  <c r="P98" i="13" s="1"/>
  <c r="K142" i="13"/>
  <c r="K108" i="13"/>
  <c r="K114" i="13"/>
  <c r="I113" i="13"/>
  <c r="I128" i="13"/>
  <c r="I91" i="13"/>
  <c r="I89" i="13"/>
  <c r="I100" i="13" s="1"/>
  <c r="I117" i="13"/>
  <c r="I116" i="13"/>
  <c r="M113" i="13"/>
  <c r="M128" i="13"/>
  <c r="M117" i="13"/>
  <c r="M112" i="13"/>
  <c r="M91" i="13"/>
  <c r="M89" i="13"/>
  <c r="M116" i="13"/>
  <c r="Q113" i="13"/>
  <c r="Q128" i="13"/>
  <c r="Q91" i="13"/>
  <c r="Q116" i="13"/>
  <c r="Q112" i="13"/>
  <c r="Q117" i="13"/>
  <c r="J133" i="13"/>
  <c r="J131" i="13"/>
  <c r="J118" i="13"/>
  <c r="J105" i="13"/>
  <c r="N133" i="13"/>
  <c r="N105" i="13"/>
  <c r="N131" i="13"/>
  <c r="N118" i="13"/>
  <c r="R133" i="13"/>
  <c r="R131" i="13"/>
  <c r="R118" i="13"/>
  <c r="R91" i="13"/>
  <c r="R105" i="13"/>
  <c r="R89" i="13"/>
  <c r="K132" i="13"/>
  <c r="K118" i="13"/>
  <c r="O132" i="13"/>
  <c r="O131" i="13"/>
  <c r="M46" i="13"/>
  <c r="Q88" i="13"/>
  <c r="Q90" i="13"/>
  <c r="H137" i="13"/>
  <c r="H104" i="13"/>
  <c r="H103" i="13"/>
  <c r="P137" i="13"/>
  <c r="P103" i="13"/>
  <c r="P104" i="13"/>
  <c r="M110" i="13"/>
  <c r="M138" i="13"/>
  <c r="O134" i="13"/>
  <c r="O93" i="13"/>
  <c r="O92" i="13"/>
  <c r="O88" i="13"/>
  <c r="L102" i="13"/>
  <c r="L90" i="13"/>
  <c r="I137" i="13"/>
  <c r="I103" i="13"/>
  <c r="I104" i="13"/>
  <c r="I4" i="13"/>
  <c r="Q137" i="13"/>
  <c r="Q103" i="13"/>
  <c r="Q4" i="13"/>
  <c r="Q104" i="13"/>
  <c r="N138" i="13"/>
  <c r="I134" i="13"/>
  <c r="I93" i="13"/>
  <c r="I92" i="13"/>
  <c r="I48" i="13"/>
  <c r="I51" i="13" s="1"/>
  <c r="I88" i="13"/>
  <c r="N100" i="13"/>
  <c r="J137" i="13"/>
  <c r="J104" i="13"/>
  <c r="R137" i="13"/>
  <c r="R104" i="13"/>
  <c r="J128" i="13"/>
  <c r="J116" i="13"/>
  <c r="J113" i="13"/>
  <c r="R128" i="13"/>
  <c r="R116" i="13"/>
  <c r="R113" i="13"/>
  <c r="K133" i="13"/>
  <c r="K105" i="13"/>
  <c r="Q97" i="13"/>
  <c r="Q98" i="13" s="1"/>
  <c r="R103" i="13"/>
  <c r="L105" i="13"/>
  <c r="R112" i="13"/>
  <c r="J4" i="13"/>
  <c r="J110" i="13" s="1"/>
  <c r="N4" i="13"/>
  <c r="R4" i="13"/>
  <c r="L138" i="13"/>
  <c r="L110" i="13"/>
  <c r="I18" i="13"/>
  <c r="M18" i="13"/>
  <c r="I114" i="13"/>
  <c r="M114" i="13"/>
  <c r="J32" i="13"/>
  <c r="K116" i="13"/>
  <c r="K117" i="13"/>
  <c r="K112" i="13"/>
  <c r="K89" i="13"/>
  <c r="O116" i="13"/>
  <c r="O117" i="13"/>
  <c r="O112" i="13"/>
  <c r="O128" i="13"/>
  <c r="O89" i="13"/>
  <c r="H131" i="13"/>
  <c r="H118" i="13"/>
  <c r="L131" i="13"/>
  <c r="L118" i="13"/>
  <c r="L133" i="13"/>
  <c r="P131" i="13"/>
  <c r="P118" i="13"/>
  <c r="J89" i="13"/>
  <c r="J100" i="13" s="1"/>
  <c r="J91" i="13"/>
  <c r="O91" i="13"/>
  <c r="M97" i="13"/>
  <c r="M98" i="13" s="1"/>
  <c r="H105" i="13"/>
  <c r="I108" i="13"/>
  <c r="H110" i="13"/>
  <c r="K113" i="13"/>
  <c r="R117" i="13"/>
  <c r="H133" i="13"/>
  <c r="N137" i="13"/>
  <c r="N104" i="13"/>
  <c r="H142" i="13"/>
  <c r="H108" i="13"/>
  <c r="H114" i="13"/>
  <c r="N128" i="13"/>
  <c r="N116" i="13"/>
  <c r="O133" i="13"/>
  <c r="O105" i="13"/>
  <c r="K46" i="13"/>
  <c r="N91" i="13"/>
  <c r="O118" i="13"/>
  <c r="K131" i="13"/>
  <c r="R141" i="12"/>
  <c r="Q141" i="12"/>
  <c r="P141" i="12"/>
  <c r="O141" i="12"/>
  <c r="N141" i="12"/>
  <c r="M141" i="12"/>
  <c r="L141" i="12"/>
  <c r="K141" i="12"/>
  <c r="J141" i="12"/>
  <c r="I141" i="12"/>
  <c r="H141" i="12"/>
  <c r="R140" i="12"/>
  <c r="Q140" i="12"/>
  <c r="P140" i="12"/>
  <c r="O140" i="12"/>
  <c r="N140" i="12"/>
  <c r="M140" i="12"/>
  <c r="L140" i="12"/>
  <c r="K140" i="12"/>
  <c r="J140" i="12"/>
  <c r="I140" i="12"/>
  <c r="H140" i="12"/>
  <c r="N130" i="12"/>
  <c r="M130" i="12"/>
  <c r="L130" i="12"/>
  <c r="K130" i="12"/>
  <c r="J130" i="12"/>
  <c r="I130" i="12"/>
  <c r="H130" i="12"/>
  <c r="R129" i="12"/>
  <c r="Q129" i="12"/>
  <c r="P129" i="12"/>
  <c r="O129" i="12"/>
  <c r="N129" i="12"/>
  <c r="M129" i="12"/>
  <c r="L129" i="12"/>
  <c r="K129" i="12"/>
  <c r="J129" i="12"/>
  <c r="I129" i="12"/>
  <c r="H129" i="12"/>
  <c r="M120" i="12"/>
  <c r="N117" i="12"/>
  <c r="M117" i="12"/>
  <c r="I117" i="12"/>
  <c r="M116" i="12"/>
  <c r="M124" i="12" s="1"/>
  <c r="I116" i="12"/>
  <c r="E114" i="12"/>
  <c r="K113" i="12"/>
  <c r="R111" i="12"/>
  <c r="Q111" i="12"/>
  <c r="P111" i="12"/>
  <c r="O111" i="12"/>
  <c r="N111" i="12"/>
  <c r="M111" i="12"/>
  <c r="L111" i="12"/>
  <c r="K111" i="12"/>
  <c r="J111" i="12"/>
  <c r="I111" i="12"/>
  <c r="H111" i="12"/>
  <c r="J108" i="12"/>
  <c r="L104" i="12"/>
  <c r="H104" i="12"/>
  <c r="R101" i="12"/>
  <c r="Q101" i="12"/>
  <c r="P101" i="12"/>
  <c r="O101" i="12"/>
  <c r="N101" i="12"/>
  <c r="M101" i="12"/>
  <c r="L101" i="12"/>
  <c r="K101" i="12"/>
  <c r="J101" i="12"/>
  <c r="I101" i="12"/>
  <c r="H101" i="12"/>
  <c r="Q97" i="12"/>
  <c r="O97" i="12"/>
  <c r="M97" i="12"/>
  <c r="M98" i="12" s="1"/>
  <c r="I97" i="12"/>
  <c r="I98" i="12" s="1"/>
  <c r="M96" i="12"/>
  <c r="L96" i="12"/>
  <c r="K96" i="12"/>
  <c r="J96" i="12"/>
  <c r="I96" i="12"/>
  <c r="H96" i="12"/>
  <c r="M94" i="12"/>
  <c r="L94" i="12"/>
  <c r="K94" i="12"/>
  <c r="J94" i="12"/>
  <c r="I94" i="12"/>
  <c r="H94" i="12"/>
  <c r="N91" i="12"/>
  <c r="M91" i="12"/>
  <c r="M89" i="12"/>
  <c r="M102" i="12" s="1"/>
  <c r="H87" i="12"/>
  <c r="H95" i="12" s="1"/>
  <c r="R85" i="12"/>
  <c r="Q85" i="12"/>
  <c r="P85" i="12"/>
  <c r="O85" i="12"/>
  <c r="N85" i="12"/>
  <c r="M85" i="12"/>
  <c r="L85" i="12"/>
  <c r="K85" i="12"/>
  <c r="J85" i="12"/>
  <c r="I85" i="12"/>
  <c r="H85" i="12"/>
  <c r="H73" i="12"/>
  <c r="R71" i="12"/>
  <c r="Q71" i="12"/>
  <c r="P71" i="12"/>
  <c r="O71" i="12"/>
  <c r="N71" i="12"/>
  <c r="M71" i="12"/>
  <c r="L71" i="12"/>
  <c r="K71" i="12"/>
  <c r="J71" i="12"/>
  <c r="I71" i="12"/>
  <c r="H71" i="12"/>
  <c r="H57" i="12"/>
  <c r="J46" i="12"/>
  <c r="J92" i="12" s="1"/>
  <c r="R45" i="12"/>
  <c r="R44" i="12"/>
  <c r="R43" i="12"/>
  <c r="M43" i="12"/>
  <c r="P42" i="12"/>
  <c r="Q42" i="12" s="1"/>
  <c r="O42" i="12"/>
  <c r="O41" i="12"/>
  <c r="O132" i="12" s="1"/>
  <c r="N41" i="12"/>
  <c r="N132" i="12" s="1"/>
  <c r="M41" i="12"/>
  <c r="M132" i="12" s="1"/>
  <c r="L41" i="12"/>
  <c r="L132" i="12" s="1"/>
  <c r="K41" i="12"/>
  <c r="K132" i="12" s="1"/>
  <c r="J41" i="12"/>
  <c r="J132" i="12" s="1"/>
  <c r="I41" i="12"/>
  <c r="I132" i="12" s="1"/>
  <c r="H41" i="12"/>
  <c r="H132" i="12" s="1"/>
  <c r="R38" i="12"/>
  <c r="Q38" i="12"/>
  <c r="P38" i="12"/>
  <c r="O38" i="12"/>
  <c r="N38" i="12"/>
  <c r="M38" i="12"/>
  <c r="L38" i="12"/>
  <c r="L105" i="12" s="1"/>
  <c r="K38" i="12"/>
  <c r="J38" i="12"/>
  <c r="I38" i="12"/>
  <c r="H38" i="12"/>
  <c r="O36" i="12"/>
  <c r="N33" i="12"/>
  <c r="M33" i="12"/>
  <c r="L33" i="12"/>
  <c r="L89" i="12" s="1"/>
  <c r="K33" i="12"/>
  <c r="J33" i="12"/>
  <c r="I33" i="12"/>
  <c r="H33" i="12"/>
  <c r="I32" i="12"/>
  <c r="I57" i="12" s="1"/>
  <c r="I73" i="12" s="1"/>
  <c r="N29" i="12"/>
  <c r="N27" i="12" s="1"/>
  <c r="M27" i="12"/>
  <c r="L27" i="12"/>
  <c r="K27" i="12"/>
  <c r="J27" i="12"/>
  <c r="J142" i="12" s="1"/>
  <c r="I27" i="12"/>
  <c r="H27" i="12"/>
  <c r="R19" i="12"/>
  <c r="Q19" i="12"/>
  <c r="Q139" i="12" s="1"/>
  <c r="P19" i="12"/>
  <c r="O19" i="12"/>
  <c r="O139" i="12" s="1"/>
  <c r="N19" i="12"/>
  <c r="M19" i="12"/>
  <c r="M139" i="12" s="1"/>
  <c r="L19" i="12"/>
  <c r="K19" i="12"/>
  <c r="K139" i="12" s="1"/>
  <c r="J19" i="12"/>
  <c r="I19" i="12"/>
  <c r="I139" i="12" s="1"/>
  <c r="H19" i="12"/>
  <c r="N18" i="12"/>
  <c r="K18" i="12"/>
  <c r="J18" i="12"/>
  <c r="I18" i="12"/>
  <c r="R10" i="12"/>
  <c r="Q10" i="12"/>
  <c r="P10" i="12"/>
  <c r="O10" i="12"/>
  <c r="O138" i="12" s="1"/>
  <c r="N10" i="12"/>
  <c r="M10" i="12"/>
  <c r="L10" i="12"/>
  <c r="K10" i="12"/>
  <c r="K138" i="12" s="1"/>
  <c r="J10" i="12"/>
  <c r="I10" i="12"/>
  <c r="I138" i="12" s="1"/>
  <c r="H10" i="12"/>
  <c r="O7" i="12"/>
  <c r="P7" i="12" s="1"/>
  <c r="Q7" i="12" s="1"/>
  <c r="R7" i="12" s="1"/>
  <c r="N7" i="12"/>
  <c r="N6" i="12"/>
  <c r="N96" i="12" s="1"/>
  <c r="M5" i="12"/>
  <c r="M4" i="12" s="1"/>
  <c r="L5" i="12"/>
  <c r="L137" i="12" s="1"/>
  <c r="K5" i="12"/>
  <c r="J5" i="12"/>
  <c r="I5" i="12"/>
  <c r="I4" i="12" s="1"/>
  <c r="H5" i="12"/>
  <c r="H137" i="12" s="1"/>
  <c r="L4" i="12"/>
  <c r="J4" i="12"/>
  <c r="Q87" i="20" l="1"/>
  <c r="Q95" i="20" s="1"/>
  <c r="R32" i="20"/>
  <c r="Q57" i="20"/>
  <c r="Q73" i="20" s="1"/>
  <c r="P109" i="20"/>
  <c r="P115" i="20" s="1"/>
  <c r="P119" i="20" s="1"/>
  <c r="P127" i="20" s="1"/>
  <c r="P106" i="20"/>
  <c r="P109" i="19"/>
  <c r="P115" i="19" s="1"/>
  <c r="P119" i="19" s="1"/>
  <c r="P127" i="19" s="1"/>
  <c r="P106" i="19"/>
  <c r="Q57" i="19"/>
  <c r="Q73" i="19" s="1"/>
  <c r="Q87" i="19"/>
  <c r="Q95" i="19" s="1"/>
  <c r="R32" i="19"/>
  <c r="O106" i="18"/>
  <c r="O109" i="18"/>
  <c r="O115" i="18" s="1"/>
  <c r="O119" i="18" s="1"/>
  <c r="O127" i="18" s="1"/>
  <c r="P87" i="18"/>
  <c r="P95" i="18" s="1"/>
  <c r="P57" i="18"/>
  <c r="P73" i="18" s="1"/>
  <c r="Q32" i="18"/>
  <c r="N106" i="17"/>
  <c r="N109" i="17"/>
  <c r="N115" i="17" s="1"/>
  <c r="N119" i="17" s="1"/>
  <c r="N127" i="17" s="1"/>
  <c r="O57" i="17"/>
  <c r="O73" i="17" s="1"/>
  <c r="P32" i="17"/>
  <c r="O87" i="17"/>
  <c r="O95" i="17" s="1"/>
  <c r="Q135" i="16"/>
  <c r="Q30" i="16"/>
  <c r="Q52" i="16" s="1"/>
  <c r="R107" i="16"/>
  <c r="R136" i="16"/>
  <c r="R112" i="16"/>
  <c r="M57" i="16"/>
  <c r="M73" i="16" s="1"/>
  <c r="M87" i="16"/>
  <c r="M95" i="16" s="1"/>
  <c r="N32" i="16"/>
  <c r="N27" i="16"/>
  <c r="N52" i="16"/>
  <c r="O29" i="16"/>
  <c r="N94" i="16"/>
  <c r="L109" i="16"/>
  <c r="L115" i="16" s="1"/>
  <c r="L119" i="16" s="1"/>
  <c r="L127" i="16" s="1"/>
  <c r="L106" i="16"/>
  <c r="R125" i="15"/>
  <c r="R121" i="15"/>
  <c r="R124" i="15"/>
  <c r="R120" i="15"/>
  <c r="R122" i="15"/>
  <c r="R123" i="15"/>
  <c r="M106" i="15"/>
  <c r="M109" i="15"/>
  <c r="M115" i="15" s="1"/>
  <c r="M119" i="15" s="1"/>
  <c r="M127" i="15" s="1"/>
  <c r="N94" i="15"/>
  <c r="N52" i="15"/>
  <c r="O29" i="15"/>
  <c r="N27" i="15"/>
  <c r="P30" i="15"/>
  <c r="P51" i="15"/>
  <c r="P135" i="15" s="1"/>
  <c r="Q134" i="15"/>
  <c r="Q92" i="15"/>
  <c r="Q88" i="15"/>
  <c r="Q93" i="15"/>
  <c r="Q48" i="15"/>
  <c r="O51" i="15"/>
  <c r="O135" i="15" s="1"/>
  <c r="O30" i="15"/>
  <c r="O52" i="15" s="1"/>
  <c r="Q102" i="15"/>
  <c r="Q90" i="15"/>
  <c r="Q100" i="15"/>
  <c r="I135" i="15"/>
  <c r="I52" i="15"/>
  <c r="N87" i="15"/>
  <c r="N95" i="15" s="1"/>
  <c r="O32" i="15"/>
  <c r="N57" i="15"/>
  <c r="N73" i="15" s="1"/>
  <c r="R128" i="15"/>
  <c r="R89" i="15"/>
  <c r="R113" i="15"/>
  <c r="R91" i="15"/>
  <c r="R112" i="15"/>
  <c r="R46" i="15"/>
  <c r="R117" i="15"/>
  <c r="R99" i="15"/>
  <c r="R107" i="15"/>
  <c r="R136" i="15"/>
  <c r="O135" i="14"/>
  <c r="O52" i="14"/>
  <c r="K100" i="14"/>
  <c r="K99" i="14"/>
  <c r="M32" i="14"/>
  <c r="L87" i="14"/>
  <c r="L95" i="14" s="1"/>
  <c r="L57" i="14"/>
  <c r="L73" i="14" s="1"/>
  <c r="J134" i="14"/>
  <c r="J93" i="14"/>
  <c r="J92" i="14"/>
  <c r="J88" i="14"/>
  <c r="J48" i="14"/>
  <c r="J51" i="14" s="1"/>
  <c r="L100" i="14"/>
  <c r="L99" i="14"/>
  <c r="K135" i="14"/>
  <c r="K52" i="14"/>
  <c r="Q135" i="14"/>
  <c r="Q52" i="14"/>
  <c r="K136" i="14"/>
  <c r="K31" i="14"/>
  <c r="K107" i="14"/>
  <c r="K114" i="14"/>
  <c r="K112" i="14"/>
  <c r="J102" i="14"/>
  <c r="J90" i="14"/>
  <c r="J122" i="14"/>
  <c r="J124" i="14"/>
  <c r="J120" i="14"/>
  <c r="J125" i="14"/>
  <c r="J123" i="14"/>
  <c r="J121" i="14"/>
  <c r="I135" i="14"/>
  <c r="I52" i="14"/>
  <c r="I124" i="14"/>
  <c r="I123" i="14"/>
  <c r="I125" i="14"/>
  <c r="L135" i="14"/>
  <c r="L52" i="14"/>
  <c r="P135" i="14"/>
  <c r="P52" i="14"/>
  <c r="K109" i="14"/>
  <c r="K115" i="14" s="1"/>
  <c r="K119" i="14" s="1"/>
  <c r="K127" i="14" s="1"/>
  <c r="K106" i="14"/>
  <c r="N123" i="13"/>
  <c r="N124" i="13"/>
  <c r="N120" i="13"/>
  <c r="N122" i="13"/>
  <c r="N125" i="13"/>
  <c r="N121" i="13"/>
  <c r="K134" i="13"/>
  <c r="K93" i="13"/>
  <c r="K88" i="13"/>
  <c r="K48" i="13"/>
  <c r="K51" i="13" s="1"/>
  <c r="K92" i="13"/>
  <c r="O102" i="13"/>
  <c r="O90" i="13"/>
  <c r="K124" i="13"/>
  <c r="K120" i="13"/>
  <c r="K125" i="13"/>
  <c r="K121" i="13"/>
  <c r="K123" i="13"/>
  <c r="K122" i="13"/>
  <c r="J112" i="13"/>
  <c r="M99" i="13"/>
  <c r="M100" i="13"/>
  <c r="K102" i="13"/>
  <c r="K90" i="13"/>
  <c r="J87" i="13"/>
  <c r="J95" i="13" s="1"/>
  <c r="J57" i="13"/>
  <c r="J73" i="13" s="1"/>
  <c r="K32" i="13"/>
  <c r="R136" i="13"/>
  <c r="R107" i="13"/>
  <c r="Q136" i="13"/>
  <c r="Q107" i="13"/>
  <c r="R90" i="13"/>
  <c r="R102" i="13"/>
  <c r="Q122" i="13"/>
  <c r="Q123" i="13"/>
  <c r="Q121" i="13"/>
  <c r="Q125" i="13"/>
  <c r="Q124" i="13"/>
  <c r="Q120" i="13"/>
  <c r="M122" i="13"/>
  <c r="M123" i="13"/>
  <c r="M125" i="13"/>
  <c r="M124" i="13"/>
  <c r="M121" i="13"/>
  <c r="M120" i="13"/>
  <c r="I122" i="13"/>
  <c r="I123" i="13"/>
  <c r="I121" i="13"/>
  <c r="I125" i="13"/>
  <c r="I124" i="13"/>
  <c r="I120" i="13"/>
  <c r="H100" i="13"/>
  <c r="H99" i="13"/>
  <c r="P102" i="13"/>
  <c r="P90" i="13"/>
  <c r="L125" i="13"/>
  <c r="L121" i="13"/>
  <c r="L122" i="13"/>
  <c r="L120" i="13"/>
  <c r="L124" i="13"/>
  <c r="L123" i="13"/>
  <c r="H102" i="13"/>
  <c r="H90" i="13"/>
  <c r="O99" i="13"/>
  <c r="O100" i="13"/>
  <c r="N30" i="13"/>
  <c r="N135" i="13"/>
  <c r="N136" i="13"/>
  <c r="N107" i="13"/>
  <c r="N112" i="13"/>
  <c r="J123" i="13"/>
  <c r="J124" i="13"/>
  <c r="J120" i="13"/>
  <c r="J125" i="13"/>
  <c r="J122" i="13"/>
  <c r="J121" i="13"/>
  <c r="I135" i="13"/>
  <c r="I52" i="13"/>
  <c r="N110" i="13"/>
  <c r="M102" i="13"/>
  <c r="M90" i="13"/>
  <c r="L100" i="13"/>
  <c r="L99" i="13"/>
  <c r="R134" i="13"/>
  <c r="R92" i="13"/>
  <c r="R88" i="13"/>
  <c r="R93" i="13"/>
  <c r="R48" i="13"/>
  <c r="R51" i="13" s="1"/>
  <c r="H125" i="13"/>
  <c r="H121" i="13"/>
  <c r="H122" i="13"/>
  <c r="H124" i="13"/>
  <c r="H123" i="13"/>
  <c r="H120" i="13"/>
  <c r="J114" i="13"/>
  <c r="Q135" i="13"/>
  <c r="Q30" i="13"/>
  <c r="J136" i="13"/>
  <c r="J107" i="13"/>
  <c r="J31" i="13"/>
  <c r="Q99" i="13"/>
  <c r="Q100" i="13"/>
  <c r="R123" i="13"/>
  <c r="R124" i="13"/>
  <c r="R120" i="13"/>
  <c r="R125" i="13"/>
  <c r="R122" i="13"/>
  <c r="R121" i="13"/>
  <c r="I102" i="13"/>
  <c r="I90" i="13"/>
  <c r="P100" i="13"/>
  <c r="P99" i="13"/>
  <c r="J134" i="13"/>
  <c r="J92" i="13"/>
  <c r="J88" i="13"/>
  <c r="J93" i="13"/>
  <c r="J48" i="13"/>
  <c r="J51" i="13" s="1"/>
  <c r="P125" i="13"/>
  <c r="P121" i="13"/>
  <c r="P122" i="13"/>
  <c r="P124" i="13"/>
  <c r="P120" i="13"/>
  <c r="P123" i="13"/>
  <c r="H134" i="13"/>
  <c r="H93" i="13"/>
  <c r="H48" i="13"/>
  <c r="H51" i="13" s="1"/>
  <c r="H88" i="13"/>
  <c r="H92" i="13"/>
  <c r="K100" i="13"/>
  <c r="K99" i="13"/>
  <c r="L142" i="13"/>
  <c r="L108" i="13"/>
  <c r="L114" i="13"/>
  <c r="J102" i="13"/>
  <c r="J90" i="13"/>
  <c r="O124" i="13"/>
  <c r="O120" i="13"/>
  <c r="O125" i="13"/>
  <c r="O121" i="13"/>
  <c r="O122" i="13"/>
  <c r="O123" i="13"/>
  <c r="I136" i="13"/>
  <c r="I107" i="13"/>
  <c r="I31" i="13"/>
  <c r="M134" i="13"/>
  <c r="M48" i="13"/>
  <c r="M51" i="13" s="1"/>
  <c r="M93" i="13"/>
  <c r="M92" i="13"/>
  <c r="M88" i="13"/>
  <c r="I112" i="13"/>
  <c r="P134" i="13"/>
  <c r="P88" i="13"/>
  <c r="P48" i="13"/>
  <c r="P51" i="13" s="1"/>
  <c r="P92" i="13"/>
  <c r="P93" i="13"/>
  <c r="L134" i="13"/>
  <c r="L48" i="13"/>
  <c r="L51" i="13" s="1"/>
  <c r="L93" i="13"/>
  <c r="L92" i="13"/>
  <c r="L88" i="13"/>
  <c r="R110" i="13"/>
  <c r="M136" i="13"/>
  <c r="M107" i="13"/>
  <c r="M31" i="13"/>
  <c r="L136" i="13"/>
  <c r="L107" i="13"/>
  <c r="L31" i="13"/>
  <c r="I110" i="13"/>
  <c r="O52" i="13"/>
  <c r="O94" i="13"/>
  <c r="O27" i="13"/>
  <c r="I136" i="12"/>
  <c r="I107" i="12"/>
  <c r="I31" i="12"/>
  <c r="M136" i="12"/>
  <c r="M107" i="12"/>
  <c r="M112" i="12"/>
  <c r="I99" i="12"/>
  <c r="M100" i="12"/>
  <c r="M99" i="12"/>
  <c r="L102" i="12"/>
  <c r="L90" i="12"/>
  <c r="R42" i="12"/>
  <c r="R41" i="12" s="1"/>
  <c r="R132" i="12" s="1"/>
  <c r="Q41" i="12"/>
  <c r="Q132" i="12" s="1"/>
  <c r="J136" i="12"/>
  <c r="J31" i="12"/>
  <c r="H139" i="12"/>
  <c r="H18" i="12"/>
  <c r="P139" i="12"/>
  <c r="M142" i="12"/>
  <c r="M114" i="12"/>
  <c r="M108" i="12"/>
  <c r="K133" i="12"/>
  <c r="K131" i="12"/>
  <c r="K105" i="12"/>
  <c r="P41" i="12"/>
  <c r="P132" i="12" s="1"/>
  <c r="J48" i="12"/>
  <c r="J51" i="12" s="1"/>
  <c r="M90" i="12"/>
  <c r="L136" i="12"/>
  <c r="L107" i="12"/>
  <c r="J137" i="12"/>
  <c r="J104" i="12"/>
  <c r="N5" i="12"/>
  <c r="H138" i="12"/>
  <c r="H110" i="12"/>
  <c r="L138" i="12"/>
  <c r="L110" i="12"/>
  <c r="O29" i="12"/>
  <c r="J32" i="12"/>
  <c r="H133" i="12"/>
  <c r="H131" i="12"/>
  <c r="H118" i="12"/>
  <c r="P133" i="12"/>
  <c r="K46" i="12"/>
  <c r="J88" i="12"/>
  <c r="H97" i="12"/>
  <c r="H98" i="12" s="1"/>
  <c r="H4" i="12"/>
  <c r="K137" i="12"/>
  <c r="K4" i="12"/>
  <c r="K114" i="12" s="1"/>
  <c r="K103" i="12"/>
  <c r="M138" i="12"/>
  <c r="M110" i="12"/>
  <c r="Q138" i="12"/>
  <c r="J139" i="12"/>
  <c r="J97" i="12"/>
  <c r="J98" i="12" s="1"/>
  <c r="N139" i="12"/>
  <c r="N97" i="12"/>
  <c r="N98" i="12" s="1"/>
  <c r="R139" i="12"/>
  <c r="R97" i="12"/>
  <c r="K142" i="12"/>
  <c r="K108" i="12"/>
  <c r="J128" i="12"/>
  <c r="J113" i="12"/>
  <c r="J112" i="12"/>
  <c r="J89" i="12"/>
  <c r="J117" i="12"/>
  <c r="J116" i="12"/>
  <c r="N128" i="12"/>
  <c r="N113" i="12"/>
  <c r="N89" i="12"/>
  <c r="O130" i="12"/>
  <c r="I131" i="12"/>
  <c r="I118" i="12"/>
  <c r="I133" i="12"/>
  <c r="I105" i="12"/>
  <c r="M131" i="12"/>
  <c r="M118" i="12"/>
  <c r="M133" i="12"/>
  <c r="M105" i="12"/>
  <c r="Q131" i="12"/>
  <c r="Q118" i="12"/>
  <c r="Q133" i="12"/>
  <c r="M46" i="12"/>
  <c r="K89" i="12"/>
  <c r="J91" i="12"/>
  <c r="H105" i="12"/>
  <c r="I110" i="12"/>
  <c r="N116" i="12"/>
  <c r="K118" i="12"/>
  <c r="J110" i="12"/>
  <c r="J138" i="12"/>
  <c r="N138" i="12"/>
  <c r="R138" i="12"/>
  <c r="M18" i="12"/>
  <c r="M31" i="12" s="1"/>
  <c r="H142" i="12"/>
  <c r="H108" i="12"/>
  <c r="H114" i="12"/>
  <c r="L142" i="12"/>
  <c r="L108" i="12"/>
  <c r="L114" i="12"/>
  <c r="L31" i="12"/>
  <c r="K128" i="12"/>
  <c r="K116" i="12"/>
  <c r="K117" i="12"/>
  <c r="O33" i="12"/>
  <c r="O117" i="12" s="1"/>
  <c r="P36" i="12"/>
  <c r="I46" i="12"/>
  <c r="N46" i="12"/>
  <c r="H109" i="12"/>
  <c r="H115" i="12" s="1"/>
  <c r="H119" i="12" s="1"/>
  <c r="H127" i="12" s="1"/>
  <c r="H106" i="12"/>
  <c r="K91" i="12"/>
  <c r="N94" i="12"/>
  <c r="K97" i="12"/>
  <c r="K98" i="12" s="1"/>
  <c r="P97" i="12"/>
  <c r="J103" i="12"/>
  <c r="K104" i="12"/>
  <c r="K112" i="12"/>
  <c r="M103" i="12"/>
  <c r="M104" i="12"/>
  <c r="M137" i="12"/>
  <c r="L139" i="12"/>
  <c r="L18" i="12"/>
  <c r="I142" i="12"/>
  <c r="I114" i="12"/>
  <c r="I108" i="12"/>
  <c r="H117" i="12"/>
  <c r="H112" i="12"/>
  <c r="H116" i="12"/>
  <c r="H128" i="12"/>
  <c r="H113" i="12"/>
  <c r="H91" i="12"/>
  <c r="H46" i="12"/>
  <c r="O133" i="12"/>
  <c r="O118" i="12"/>
  <c r="O131" i="12"/>
  <c r="J107" i="12"/>
  <c r="J114" i="12"/>
  <c r="I125" i="12"/>
  <c r="I121" i="12"/>
  <c r="I122" i="12"/>
  <c r="I124" i="12"/>
  <c r="I123" i="12"/>
  <c r="I120" i="12"/>
  <c r="I137" i="12"/>
  <c r="I103" i="12"/>
  <c r="I104" i="12"/>
  <c r="N142" i="12"/>
  <c r="N108" i="12"/>
  <c r="L117" i="12"/>
  <c r="L112" i="12"/>
  <c r="L128" i="12"/>
  <c r="L116" i="12"/>
  <c r="L91" i="12"/>
  <c r="L46" i="12"/>
  <c r="L113" i="12"/>
  <c r="J134" i="12"/>
  <c r="J93" i="12"/>
  <c r="I87" i="12"/>
  <c r="I95" i="12" s="1"/>
  <c r="H89" i="12"/>
  <c r="L97" i="12"/>
  <c r="L98" i="12" s="1"/>
  <c r="N105" i="12"/>
  <c r="O6" i="12"/>
  <c r="P138" i="12"/>
  <c r="L133" i="12"/>
  <c r="L131" i="12"/>
  <c r="L118" i="12"/>
  <c r="I89" i="12"/>
  <c r="I100" i="12" s="1"/>
  <c r="I91" i="12"/>
  <c r="M123" i="12"/>
  <c r="I113" i="12"/>
  <c r="I128" i="12"/>
  <c r="M113" i="12"/>
  <c r="M128" i="12"/>
  <c r="J131" i="12"/>
  <c r="J118" i="12"/>
  <c r="J133" i="12"/>
  <c r="N131" i="12"/>
  <c r="N118" i="12"/>
  <c r="N133" i="12"/>
  <c r="R133" i="12"/>
  <c r="H103" i="12"/>
  <c r="L103" i="12"/>
  <c r="J105" i="12"/>
  <c r="I112" i="12"/>
  <c r="M125" i="12"/>
  <c r="M121" i="12"/>
  <c r="M122" i="12"/>
  <c r="R141" i="11"/>
  <c r="Q141" i="11"/>
  <c r="P141" i="11"/>
  <c r="O141" i="11"/>
  <c r="N141" i="11"/>
  <c r="M141" i="11"/>
  <c r="L141" i="11"/>
  <c r="K141" i="11"/>
  <c r="J141" i="11"/>
  <c r="I141" i="11"/>
  <c r="H141" i="11"/>
  <c r="R140" i="11"/>
  <c r="Q140" i="11"/>
  <c r="P140" i="11"/>
  <c r="O140" i="11"/>
  <c r="N140" i="11"/>
  <c r="M140" i="11"/>
  <c r="L140" i="11"/>
  <c r="K140" i="11"/>
  <c r="J140" i="11"/>
  <c r="I140" i="11"/>
  <c r="H140" i="11"/>
  <c r="R130" i="11"/>
  <c r="Q130" i="11"/>
  <c r="P130" i="11"/>
  <c r="O130" i="11"/>
  <c r="N130" i="11"/>
  <c r="M130" i="11"/>
  <c r="L130" i="11"/>
  <c r="K130" i="11"/>
  <c r="J130" i="11"/>
  <c r="I130" i="11"/>
  <c r="H130" i="11"/>
  <c r="R129" i="11"/>
  <c r="Q129" i="11"/>
  <c r="P129" i="11"/>
  <c r="O129" i="11"/>
  <c r="N129" i="11"/>
  <c r="M129" i="11"/>
  <c r="L129" i="11"/>
  <c r="K129" i="11"/>
  <c r="J129" i="11"/>
  <c r="I129" i="11"/>
  <c r="H129" i="11"/>
  <c r="E114" i="11"/>
  <c r="R111" i="11"/>
  <c r="Q111" i="11"/>
  <c r="P111" i="11"/>
  <c r="O111" i="11"/>
  <c r="N111" i="11"/>
  <c r="M111" i="11"/>
  <c r="L111" i="11"/>
  <c r="K111" i="11"/>
  <c r="J111" i="11"/>
  <c r="I111" i="11"/>
  <c r="H111" i="11"/>
  <c r="M105" i="11"/>
  <c r="I105" i="11"/>
  <c r="P104" i="11"/>
  <c r="O103" i="11"/>
  <c r="K103" i="11"/>
  <c r="R101" i="11"/>
  <c r="Q101" i="11"/>
  <c r="P101" i="11"/>
  <c r="O101" i="11"/>
  <c r="N101" i="11"/>
  <c r="M101" i="11"/>
  <c r="L101" i="11"/>
  <c r="K101" i="11"/>
  <c r="J101" i="11"/>
  <c r="I101" i="11"/>
  <c r="Q97" i="11"/>
  <c r="Q98" i="11" s="1"/>
  <c r="N97" i="11"/>
  <c r="N98" i="11" s="1"/>
  <c r="M97" i="11"/>
  <c r="I97" i="11"/>
  <c r="I98" i="11" s="1"/>
  <c r="R96" i="11"/>
  <c r="Q96" i="11"/>
  <c r="P96" i="11"/>
  <c r="O96" i="11"/>
  <c r="N96" i="11"/>
  <c r="M96" i="11"/>
  <c r="L96" i="11"/>
  <c r="K96" i="11"/>
  <c r="J96" i="11"/>
  <c r="I96" i="11"/>
  <c r="H96" i="11"/>
  <c r="H94" i="11"/>
  <c r="L92" i="11"/>
  <c r="L91" i="11"/>
  <c r="R89" i="11"/>
  <c r="R90" i="11" s="1"/>
  <c r="J89" i="11"/>
  <c r="J102" i="11" s="1"/>
  <c r="H87" i="11"/>
  <c r="H95" i="11" s="1"/>
  <c r="R85" i="11"/>
  <c r="Q85" i="11"/>
  <c r="P85" i="11"/>
  <c r="O85" i="11"/>
  <c r="N85" i="11"/>
  <c r="M85" i="11"/>
  <c r="L85" i="11"/>
  <c r="K85" i="11"/>
  <c r="J85" i="11"/>
  <c r="I85" i="11"/>
  <c r="H79" i="11"/>
  <c r="R71" i="11"/>
  <c r="Q71" i="11"/>
  <c r="P71" i="11"/>
  <c r="O71" i="11"/>
  <c r="N71" i="11"/>
  <c r="M71" i="11"/>
  <c r="L71" i="11"/>
  <c r="K71" i="11"/>
  <c r="J71" i="11"/>
  <c r="I71" i="11"/>
  <c r="H71" i="11"/>
  <c r="I57" i="11"/>
  <c r="I73" i="11" s="1"/>
  <c r="H57" i="11"/>
  <c r="H73" i="11" s="1"/>
  <c r="P46" i="11"/>
  <c r="P92" i="11" s="1"/>
  <c r="M46" i="11"/>
  <c r="M134" i="11" s="1"/>
  <c r="L46" i="11"/>
  <c r="H46" i="11"/>
  <c r="R41" i="11"/>
  <c r="R132" i="11" s="1"/>
  <c r="Q41" i="11"/>
  <c r="Q132" i="11" s="1"/>
  <c r="P41" i="11"/>
  <c r="P132" i="11" s="1"/>
  <c r="O41" i="11"/>
  <c r="O132" i="11" s="1"/>
  <c r="N41" i="11"/>
  <c r="N132" i="11" s="1"/>
  <c r="M41" i="11"/>
  <c r="M132" i="11" s="1"/>
  <c r="L41" i="11"/>
  <c r="L132" i="11" s="1"/>
  <c r="K41" i="11"/>
  <c r="K132" i="11" s="1"/>
  <c r="J41" i="11"/>
  <c r="J132" i="11" s="1"/>
  <c r="I41" i="11"/>
  <c r="I132" i="11" s="1"/>
  <c r="H41" i="11"/>
  <c r="H132" i="11" s="1"/>
  <c r="R38" i="11"/>
  <c r="Q38" i="11"/>
  <c r="P38" i="11"/>
  <c r="O38" i="11"/>
  <c r="N38" i="11"/>
  <c r="M38" i="11"/>
  <c r="L38" i="11"/>
  <c r="L105" i="11" s="1"/>
  <c r="K38" i="11"/>
  <c r="K91" i="11" s="1"/>
  <c r="J38" i="11"/>
  <c r="I38" i="11"/>
  <c r="H38" i="11"/>
  <c r="H105" i="11" s="1"/>
  <c r="R33" i="11"/>
  <c r="Q33" i="11"/>
  <c r="Q89" i="11" s="1"/>
  <c r="P33" i="11"/>
  <c r="O33" i="11"/>
  <c r="O117" i="11" s="1"/>
  <c r="N33" i="11"/>
  <c r="M33" i="11"/>
  <c r="L33" i="11"/>
  <c r="K33" i="11"/>
  <c r="K116" i="11" s="1"/>
  <c r="J33" i="11"/>
  <c r="I33" i="11"/>
  <c r="H33" i="11"/>
  <c r="I32" i="11"/>
  <c r="I29" i="11"/>
  <c r="H27" i="11"/>
  <c r="H21" i="11"/>
  <c r="R19" i="11"/>
  <c r="R139" i="11" s="1"/>
  <c r="Q19" i="11"/>
  <c r="Q139" i="11" s="1"/>
  <c r="P19" i="11"/>
  <c r="O19" i="11"/>
  <c r="N19" i="11"/>
  <c r="N139" i="11" s="1"/>
  <c r="M19" i="11"/>
  <c r="M139" i="11" s="1"/>
  <c r="L19" i="11"/>
  <c r="K19" i="11"/>
  <c r="J19" i="11"/>
  <c r="J139" i="11" s="1"/>
  <c r="I19" i="11"/>
  <c r="I139" i="11" s="1"/>
  <c r="H19" i="11"/>
  <c r="H18" i="11" s="1"/>
  <c r="R10" i="11"/>
  <c r="Q10" i="11"/>
  <c r="P10" i="11"/>
  <c r="O10" i="11"/>
  <c r="O4" i="11" s="1"/>
  <c r="N10" i="11"/>
  <c r="M10" i="11"/>
  <c r="L10" i="11"/>
  <c r="K10" i="11"/>
  <c r="J10" i="11"/>
  <c r="I10" i="11"/>
  <c r="H10" i="11"/>
  <c r="R5" i="11"/>
  <c r="Q5" i="11"/>
  <c r="P5" i="11"/>
  <c r="O5" i="11"/>
  <c r="N5" i="11"/>
  <c r="M5" i="11"/>
  <c r="L5" i="11"/>
  <c r="K5" i="11"/>
  <c r="J5" i="11"/>
  <c r="I5" i="11"/>
  <c r="H5" i="11"/>
  <c r="P4" i="11"/>
  <c r="L4" i="11"/>
  <c r="H4" i="11"/>
  <c r="R57" i="20" l="1"/>
  <c r="R73" i="20" s="1"/>
  <c r="R87" i="20"/>
  <c r="R95" i="20" s="1"/>
  <c r="Q106" i="20"/>
  <c r="Q109" i="20"/>
  <c r="Q115" i="20" s="1"/>
  <c r="Q119" i="20" s="1"/>
  <c r="Q127" i="20" s="1"/>
  <c r="Q109" i="19"/>
  <c r="Q115" i="19" s="1"/>
  <c r="Q119" i="19" s="1"/>
  <c r="Q127" i="19" s="1"/>
  <c r="Q106" i="19"/>
  <c r="R87" i="19"/>
  <c r="R95" i="19" s="1"/>
  <c r="R57" i="19"/>
  <c r="R73" i="19" s="1"/>
  <c r="P109" i="18"/>
  <c r="P115" i="18" s="1"/>
  <c r="P119" i="18" s="1"/>
  <c r="P127" i="18" s="1"/>
  <c r="P106" i="18"/>
  <c r="Q57" i="18"/>
  <c r="Q73" i="18" s="1"/>
  <c r="R32" i="18"/>
  <c r="Q87" i="18"/>
  <c r="Q95" i="18" s="1"/>
  <c r="O109" i="17"/>
  <c r="O115" i="17" s="1"/>
  <c r="O119" i="17" s="1"/>
  <c r="O127" i="17" s="1"/>
  <c r="O106" i="17"/>
  <c r="P87" i="17"/>
  <c r="P95" i="17" s="1"/>
  <c r="Q32" i="17"/>
  <c r="P57" i="17"/>
  <c r="P73" i="17" s="1"/>
  <c r="N57" i="16"/>
  <c r="N73" i="16" s="1"/>
  <c r="N87" i="16"/>
  <c r="N95" i="16" s="1"/>
  <c r="O32" i="16"/>
  <c r="O27" i="16"/>
  <c r="P29" i="16"/>
  <c r="O94" i="16"/>
  <c r="M109" i="16"/>
  <c r="M115" i="16" s="1"/>
  <c r="M119" i="16" s="1"/>
  <c r="M127" i="16" s="1"/>
  <c r="M106" i="16"/>
  <c r="N142" i="16"/>
  <c r="N114" i="16"/>
  <c r="N108" i="16"/>
  <c r="N18" i="16"/>
  <c r="N31" i="16" s="1"/>
  <c r="N109" i="15"/>
  <c r="N115" i="15" s="1"/>
  <c r="N119" i="15" s="1"/>
  <c r="N127" i="15" s="1"/>
  <c r="N106" i="15"/>
  <c r="O94" i="15"/>
  <c r="O27" i="15"/>
  <c r="P29" i="15"/>
  <c r="P52" i="15"/>
  <c r="O57" i="15"/>
  <c r="O73" i="15" s="1"/>
  <c r="P32" i="15"/>
  <c r="O87" i="15"/>
  <c r="O95" i="15" s="1"/>
  <c r="N142" i="15"/>
  <c r="N114" i="15"/>
  <c r="N108" i="15"/>
  <c r="N18" i="15"/>
  <c r="N31" i="15" s="1"/>
  <c r="R102" i="15"/>
  <c r="R90" i="15"/>
  <c r="R100" i="15"/>
  <c r="Q51" i="15"/>
  <c r="Q135" i="15" s="1"/>
  <c r="Q30" i="15"/>
  <c r="Q52" i="15" s="1"/>
  <c r="R134" i="15"/>
  <c r="R93" i="15"/>
  <c r="R92" i="15"/>
  <c r="R88" i="15"/>
  <c r="R48" i="15"/>
  <c r="L109" i="14"/>
  <c r="L115" i="14" s="1"/>
  <c r="L119" i="14" s="1"/>
  <c r="L127" i="14" s="1"/>
  <c r="L106" i="14"/>
  <c r="N32" i="14"/>
  <c r="M57" i="14"/>
  <c r="M73" i="14" s="1"/>
  <c r="M87" i="14"/>
  <c r="M95" i="14" s="1"/>
  <c r="J135" i="14"/>
  <c r="J52" i="14"/>
  <c r="M135" i="13"/>
  <c r="M52" i="13"/>
  <c r="H135" i="13"/>
  <c r="H52" i="13"/>
  <c r="L135" i="13"/>
  <c r="L52" i="13"/>
  <c r="P135" i="13"/>
  <c r="P30" i="13"/>
  <c r="J52" i="13"/>
  <c r="J135" i="13"/>
  <c r="Q52" i="13"/>
  <c r="Q27" i="13"/>
  <c r="Q94" i="13"/>
  <c r="N52" i="13"/>
  <c r="N94" i="13"/>
  <c r="N27" i="13"/>
  <c r="R30" i="13"/>
  <c r="R135" i="13"/>
  <c r="K87" i="13"/>
  <c r="K95" i="13" s="1"/>
  <c r="K57" i="13"/>
  <c r="K73" i="13" s="1"/>
  <c r="L32" i="13"/>
  <c r="O142" i="13"/>
  <c r="O108" i="13"/>
  <c r="O114" i="13"/>
  <c r="O18" i="13"/>
  <c r="O31" i="13" s="1"/>
  <c r="K135" i="13"/>
  <c r="K52" i="13"/>
  <c r="J109" i="13"/>
  <c r="J115" i="13" s="1"/>
  <c r="J119" i="13" s="1"/>
  <c r="J127" i="13" s="1"/>
  <c r="J106" i="13"/>
  <c r="R118" i="12"/>
  <c r="O105" i="12"/>
  <c r="O96" i="12"/>
  <c r="O98" i="12" s="1"/>
  <c r="P6" i="12"/>
  <c r="O5" i="12"/>
  <c r="I109" i="12"/>
  <c r="I115" i="12" s="1"/>
  <c r="I119" i="12" s="1"/>
  <c r="I127" i="12" s="1"/>
  <c r="I106" i="12"/>
  <c r="L134" i="12"/>
  <c r="L88" i="12"/>
  <c r="L48" i="12"/>
  <c r="L51" i="12" s="1"/>
  <c r="L93" i="12"/>
  <c r="L92" i="12"/>
  <c r="I134" i="12"/>
  <c r="I92" i="12"/>
  <c r="I88" i="12"/>
  <c r="I48" i="12"/>
  <c r="I51" i="12" s="1"/>
  <c r="I93" i="12"/>
  <c r="K123" i="12"/>
  <c r="K124" i="12"/>
  <c r="K120" i="12"/>
  <c r="K125" i="12"/>
  <c r="K122" i="12"/>
  <c r="K121" i="12"/>
  <c r="M134" i="12"/>
  <c r="M92" i="12"/>
  <c r="M88" i="12"/>
  <c r="M48" i="12"/>
  <c r="M51" i="12" s="1"/>
  <c r="M93" i="12"/>
  <c r="J102" i="12"/>
  <c r="J90" i="12"/>
  <c r="H107" i="12"/>
  <c r="H136" i="12"/>
  <c r="H31" i="12"/>
  <c r="P118" i="12"/>
  <c r="N137" i="12"/>
  <c r="N104" i="12"/>
  <c r="N103" i="12"/>
  <c r="N4" i="12"/>
  <c r="R131" i="12"/>
  <c r="P130" i="12"/>
  <c r="P117" i="12"/>
  <c r="Q36" i="12"/>
  <c r="P33" i="12"/>
  <c r="N100" i="12"/>
  <c r="N99" i="12"/>
  <c r="H99" i="12"/>
  <c r="H100" i="12"/>
  <c r="P131" i="12"/>
  <c r="I102" i="12"/>
  <c r="I90" i="12"/>
  <c r="L99" i="12"/>
  <c r="L100" i="12"/>
  <c r="L124" i="12"/>
  <c r="L120" i="12"/>
  <c r="L125" i="12"/>
  <c r="L121" i="12"/>
  <c r="L123" i="12"/>
  <c r="L122" i="12"/>
  <c r="K100" i="12"/>
  <c r="K99" i="12"/>
  <c r="O128" i="12"/>
  <c r="O116" i="12"/>
  <c r="O113" i="12"/>
  <c r="O46" i="12"/>
  <c r="O91" i="12"/>
  <c r="O89" i="12"/>
  <c r="N122" i="12"/>
  <c r="N123" i="12"/>
  <c r="N125" i="12"/>
  <c r="N124" i="12"/>
  <c r="N121" i="12"/>
  <c r="N120" i="12"/>
  <c r="N102" i="12"/>
  <c r="N90" i="12"/>
  <c r="J122" i="12"/>
  <c r="J123" i="12"/>
  <c r="J121" i="12"/>
  <c r="J120" i="12"/>
  <c r="J125" i="12"/>
  <c r="J124" i="12"/>
  <c r="K136" i="12"/>
  <c r="K107" i="12"/>
  <c r="K110" i="12"/>
  <c r="K31" i="12"/>
  <c r="J87" i="12"/>
  <c r="J95" i="12" s="1"/>
  <c r="J57" i="12"/>
  <c r="J73" i="12" s="1"/>
  <c r="K32" i="12"/>
  <c r="J135" i="12"/>
  <c r="J52" i="12"/>
  <c r="H102" i="12"/>
  <c r="H90" i="12"/>
  <c r="H134" i="12"/>
  <c r="H92" i="12"/>
  <c r="H88" i="12"/>
  <c r="H48" i="12"/>
  <c r="H51" i="12" s="1"/>
  <c r="H93" i="12"/>
  <c r="H124" i="12"/>
  <c r="H120" i="12"/>
  <c r="H125" i="12"/>
  <c r="H121" i="12"/>
  <c r="H123" i="12"/>
  <c r="H122" i="12"/>
  <c r="N93" i="12"/>
  <c r="N134" i="12"/>
  <c r="N48" i="12"/>
  <c r="N51" i="12" s="1"/>
  <c r="N92" i="12"/>
  <c r="N88" i="12"/>
  <c r="K102" i="12"/>
  <c r="K90" i="12"/>
  <c r="J100" i="12"/>
  <c r="J99" i="12"/>
  <c r="K134" i="12"/>
  <c r="K48" i="12"/>
  <c r="K51" i="12" s="1"/>
  <c r="K93" i="12"/>
  <c r="K92" i="12"/>
  <c r="K88" i="12"/>
  <c r="O94" i="12"/>
  <c r="O27" i="12"/>
  <c r="P29" i="12"/>
  <c r="O136" i="11"/>
  <c r="O107" i="11"/>
  <c r="Q102" i="11"/>
  <c r="Q90" i="11"/>
  <c r="H106" i="11"/>
  <c r="H109" i="11"/>
  <c r="H115" i="11" s="1"/>
  <c r="H119" i="11" s="1"/>
  <c r="H127" i="11" s="1"/>
  <c r="N99" i="11"/>
  <c r="H136" i="11"/>
  <c r="H31" i="11"/>
  <c r="H107" i="11"/>
  <c r="J137" i="11"/>
  <c r="J104" i="11"/>
  <c r="J103" i="11"/>
  <c r="K138" i="11"/>
  <c r="I116" i="11"/>
  <c r="I117" i="11"/>
  <c r="I128" i="11"/>
  <c r="I113" i="11"/>
  <c r="I91" i="11"/>
  <c r="J131" i="11"/>
  <c r="J118" i="11"/>
  <c r="J133" i="11"/>
  <c r="J105" i="11"/>
  <c r="R131" i="11"/>
  <c r="R118" i="11"/>
  <c r="R133" i="11"/>
  <c r="R105" i="11"/>
  <c r="H134" i="11"/>
  <c r="H93" i="11"/>
  <c r="H48" i="11"/>
  <c r="H51" i="11" s="1"/>
  <c r="K4" i="11"/>
  <c r="H137" i="11"/>
  <c r="H103" i="11"/>
  <c r="L137" i="11"/>
  <c r="L103" i="11"/>
  <c r="P137" i="11"/>
  <c r="P103" i="11"/>
  <c r="I138" i="11"/>
  <c r="M138" i="11"/>
  <c r="M110" i="11"/>
  <c r="Q138" i="11"/>
  <c r="K139" i="11"/>
  <c r="K97" i="11"/>
  <c r="K98" i="11" s="1"/>
  <c r="O139" i="11"/>
  <c r="O97" i="11"/>
  <c r="O98" i="11" s="1"/>
  <c r="I87" i="11"/>
  <c r="I95" i="11" s="1"/>
  <c r="J32" i="11"/>
  <c r="K122" i="11"/>
  <c r="K123" i="11"/>
  <c r="K124" i="11"/>
  <c r="K120" i="11"/>
  <c r="K125" i="11"/>
  <c r="K121" i="11"/>
  <c r="L134" i="11"/>
  <c r="L93" i="11"/>
  <c r="L48" i="11"/>
  <c r="L51" i="11" s="1"/>
  <c r="L88" i="11"/>
  <c r="I89" i="11"/>
  <c r="H92" i="11"/>
  <c r="M93" i="11"/>
  <c r="M98" i="11"/>
  <c r="R102" i="11"/>
  <c r="L104" i="11"/>
  <c r="L136" i="11"/>
  <c r="L107" i="11"/>
  <c r="P136" i="11"/>
  <c r="P107" i="11"/>
  <c r="I137" i="11"/>
  <c r="I103" i="11"/>
  <c r="I104" i="11"/>
  <c r="M137" i="11"/>
  <c r="M103" i="11"/>
  <c r="M104" i="11"/>
  <c r="Q137" i="11"/>
  <c r="Q103" i="11"/>
  <c r="Q104" i="11"/>
  <c r="J138" i="11"/>
  <c r="J110" i="11"/>
  <c r="N138" i="11"/>
  <c r="R138" i="11"/>
  <c r="R110" i="11"/>
  <c r="H139" i="11"/>
  <c r="H97" i="11"/>
  <c r="H98" i="11" s="1"/>
  <c r="L139" i="11"/>
  <c r="L97" i="11"/>
  <c r="L98" i="11" s="1"/>
  <c r="P139" i="11"/>
  <c r="P97" i="11"/>
  <c r="P98" i="11" s="1"/>
  <c r="H142" i="11"/>
  <c r="H114" i="11"/>
  <c r="H108" i="11"/>
  <c r="I27" i="11"/>
  <c r="I94" i="11"/>
  <c r="M88" i="11"/>
  <c r="M4" i="11"/>
  <c r="R137" i="11"/>
  <c r="R104" i="11"/>
  <c r="R103" i="11"/>
  <c r="M116" i="11"/>
  <c r="M117" i="11"/>
  <c r="M112" i="11"/>
  <c r="M128" i="11"/>
  <c r="M91" i="11"/>
  <c r="M113" i="11"/>
  <c r="N131" i="11"/>
  <c r="N118" i="11"/>
  <c r="N133" i="11"/>
  <c r="N105" i="11"/>
  <c r="P134" i="11"/>
  <c r="P93" i="11"/>
  <c r="P48" i="11"/>
  <c r="P51" i="11" s="1"/>
  <c r="H85" i="11"/>
  <c r="H101" i="11"/>
  <c r="H88" i="11"/>
  <c r="P88" i="11"/>
  <c r="M89" i="11"/>
  <c r="J90" i="11"/>
  <c r="O91" i="11"/>
  <c r="Q99" i="11"/>
  <c r="I4" i="11"/>
  <c r="I110" i="11" s="1"/>
  <c r="Q4" i="11"/>
  <c r="N137" i="11"/>
  <c r="N104" i="11"/>
  <c r="N103" i="11"/>
  <c r="O110" i="11"/>
  <c r="O138" i="11"/>
  <c r="J29" i="11"/>
  <c r="Q116" i="11"/>
  <c r="Q117" i="11"/>
  <c r="Q128" i="11"/>
  <c r="Q113" i="11"/>
  <c r="Q91" i="11"/>
  <c r="M48" i="11"/>
  <c r="M51" i="11" s="1"/>
  <c r="I99" i="11"/>
  <c r="J4" i="11"/>
  <c r="J112" i="11" s="1"/>
  <c r="N4" i="11"/>
  <c r="R4" i="11"/>
  <c r="K137" i="11"/>
  <c r="K104" i="11"/>
  <c r="O137" i="11"/>
  <c r="O104" i="11"/>
  <c r="H110" i="11"/>
  <c r="H138" i="11"/>
  <c r="L110" i="11"/>
  <c r="L138" i="11"/>
  <c r="P110" i="11"/>
  <c r="P138" i="11"/>
  <c r="J117" i="11"/>
  <c r="J113" i="11"/>
  <c r="J128" i="11"/>
  <c r="J46" i="11"/>
  <c r="J116" i="11"/>
  <c r="J91" i="11"/>
  <c r="N117" i="11"/>
  <c r="N112" i="11"/>
  <c r="N113" i="11"/>
  <c r="N128" i="11"/>
  <c r="N116" i="11"/>
  <c r="N46" i="11"/>
  <c r="N91" i="11"/>
  <c r="R117" i="11"/>
  <c r="R112" i="11"/>
  <c r="R113" i="11"/>
  <c r="R128" i="11"/>
  <c r="R46" i="11"/>
  <c r="R116" i="11"/>
  <c r="R91" i="11"/>
  <c r="K131" i="11"/>
  <c r="K118" i="11"/>
  <c r="K133" i="11"/>
  <c r="K105" i="11"/>
  <c r="O131" i="11"/>
  <c r="O118" i="11"/>
  <c r="O105" i="11"/>
  <c r="O133" i="11"/>
  <c r="I46" i="11"/>
  <c r="Q46" i="11"/>
  <c r="N89" i="11"/>
  <c r="H91" i="11"/>
  <c r="P91" i="11"/>
  <c r="M92" i="11"/>
  <c r="J97" i="11"/>
  <c r="J98" i="11" s="1"/>
  <c r="R97" i="11"/>
  <c r="R98" i="11" s="1"/>
  <c r="I100" i="11"/>
  <c r="Q100" i="11"/>
  <c r="H104" i="11"/>
  <c r="H128" i="11"/>
  <c r="H116" i="11"/>
  <c r="L128" i="11"/>
  <c r="L116" i="11"/>
  <c r="P128" i="11"/>
  <c r="P116" i="11"/>
  <c r="I133" i="11"/>
  <c r="I131" i="11"/>
  <c r="M133" i="11"/>
  <c r="M131" i="11"/>
  <c r="Q133" i="11"/>
  <c r="Q131" i="11"/>
  <c r="K46" i="11"/>
  <c r="O46" i="11"/>
  <c r="H89" i="11"/>
  <c r="L89" i="11"/>
  <c r="P89" i="11"/>
  <c r="Q105" i="11"/>
  <c r="O112" i="11"/>
  <c r="L113" i="11"/>
  <c r="O116" i="11"/>
  <c r="L117" i="11"/>
  <c r="M118" i="11"/>
  <c r="H112" i="11"/>
  <c r="P112" i="11"/>
  <c r="Q118" i="11"/>
  <c r="K112" i="11"/>
  <c r="H113" i="11"/>
  <c r="P113" i="11"/>
  <c r="H117" i="11"/>
  <c r="P117" i="11"/>
  <c r="K113" i="11"/>
  <c r="K128" i="11"/>
  <c r="O113" i="11"/>
  <c r="O128" i="11"/>
  <c r="H133" i="11"/>
  <c r="H131" i="11"/>
  <c r="H118" i="11"/>
  <c r="L133" i="11"/>
  <c r="L131" i="11"/>
  <c r="L118" i="11"/>
  <c r="P133" i="11"/>
  <c r="P131" i="11"/>
  <c r="P118" i="11"/>
  <c r="K89" i="11"/>
  <c r="O89" i="11"/>
  <c r="P105" i="11"/>
  <c r="L112" i="11"/>
  <c r="K117" i="11"/>
  <c r="I118" i="11"/>
  <c r="R141" i="10"/>
  <c r="Q141" i="10"/>
  <c r="P141" i="10"/>
  <c r="O141" i="10"/>
  <c r="N141" i="10"/>
  <c r="M141" i="10"/>
  <c r="L141" i="10"/>
  <c r="K141" i="10"/>
  <c r="J141" i="10"/>
  <c r="I141" i="10"/>
  <c r="H141" i="10"/>
  <c r="R140" i="10"/>
  <c r="Q140" i="10"/>
  <c r="P140" i="10"/>
  <c r="O140" i="10"/>
  <c r="N140" i="10"/>
  <c r="M140" i="10"/>
  <c r="L140" i="10"/>
  <c r="K140" i="10"/>
  <c r="J140" i="10"/>
  <c r="I140" i="10"/>
  <c r="H140" i="10"/>
  <c r="I132" i="10"/>
  <c r="R130" i="10"/>
  <c r="Q130" i="10"/>
  <c r="P130" i="10"/>
  <c r="O130" i="10"/>
  <c r="N130" i="10"/>
  <c r="M130" i="10"/>
  <c r="L130" i="10"/>
  <c r="K130" i="10"/>
  <c r="J130" i="10"/>
  <c r="I130" i="10"/>
  <c r="H130" i="10"/>
  <c r="R129" i="10"/>
  <c r="Q129" i="10"/>
  <c r="P129" i="10"/>
  <c r="O129" i="10"/>
  <c r="N129" i="10"/>
  <c r="M129" i="10"/>
  <c r="L129" i="10"/>
  <c r="K129" i="10"/>
  <c r="J129" i="10"/>
  <c r="I129" i="10"/>
  <c r="H129" i="10"/>
  <c r="O128" i="10"/>
  <c r="O125" i="10"/>
  <c r="R116" i="10"/>
  <c r="H115" i="10"/>
  <c r="H119" i="10" s="1"/>
  <c r="H127" i="10" s="1"/>
  <c r="E114" i="10"/>
  <c r="R111" i="10"/>
  <c r="Q111" i="10"/>
  <c r="P111" i="10"/>
  <c r="O111" i="10"/>
  <c r="N111" i="10"/>
  <c r="M111" i="10"/>
  <c r="L111" i="10"/>
  <c r="K111" i="10"/>
  <c r="J111" i="10"/>
  <c r="I111" i="10"/>
  <c r="H111" i="10"/>
  <c r="H109" i="10"/>
  <c r="I108" i="10"/>
  <c r="Q104" i="10"/>
  <c r="I104" i="10"/>
  <c r="R101" i="10"/>
  <c r="Q101" i="10"/>
  <c r="P101" i="10"/>
  <c r="O101" i="10"/>
  <c r="N101" i="10"/>
  <c r="M101" i="10"/>
  <c r="L101" i="10"/>
  <c r="K101" i="10"/>
  <c r="J101" i="10"/>
  <c r="I101" i="10"/>
  <c r="H101" i="10"/>
  <c r="P97" i="10"/>
  <c r="P98" i="10" s="1"/>
  <c r="H97" i="10"/>
  <c r="H98" i="10" s="1"/>
  <c r="R96" i="10"/>
  <c r="Q96" i="10"/>
  <c r="P96" i="10"/>
  <c r="O96" i="10"/>
  <c r="N96" i="10"/>
  <c r="M96" i="10"/>
  <c r="L96" i="10"/>
  <c r="K96" i="10"/>
  <c r="J96" i="10"/>
  <c r="I96" i="10"/>
  <c r="H96" i="10"/>
  <c r="H95" i="10"/>
  <c r="H106" i="10" s="1"/>
  <c r="R94" i="10"/>
  <c r="Q94" i="10"/>
  <c r="P94" i="10"/>
  <c r="O94" i="10"/>
  <c r="N94" i="10"/>
  <c r="M94" i="10"/>
  <c r="L94" i="10"/>
  <c r="K94" i="10"/>
  <c r="J94" i="10"/>
  <c r="I94" i="10"/>
  <c r="H94" i="10"/>
  <c r="O91" i="10"/>
  <c r="K91" i="10"/>
  <c r="H87" i="10"/>
  <c r="R85" i="10"/>
  <c r="Q85" i="10"/>
  <c r="P85" i="10"/>
  <c r="O85" i="10"/>
  <c r="N85" i="10"/>
  <c r="M85" i="10"/>
  <c r="L85" i="10"/>
  <c r="K85" i="10"/>
  <c r="J85" i="10"/>
  <c r="I85" i="10"/>
  <c r="H85" i="10"/>
  <c r="R71" i="10"/>
  <c r="Q71" i="10"/>
  <c r="P71" i="10"/>
  <c r="O71" i="10"/>
  <c r="N71" i="10"/>
  <c r="M71" i="10"/>
  <c r="L71" i="10"/>
  <c r="K71" i="10"/>
  <c r="J71" i="10"/>
  <c r="I71" i="10"/>
  <c r="H71" i="10"/>
  <c r="H57" i="10"/>
  <c r="H73" i="10" s="1"/>
  <c r="O46" i="10"/>
  <c r="R41" i="10"/>
  <c r="R132" i="10" s="1"/>
  <c r="Q41" i="10"/>
  <c r="Q132" i="10" s="1"/>
  <c r="P41" i="10"/>
  <c r="P132" i="10" s="1"/>
  <c r="O41" i="10"/>
  <c r="O132" i="10" s="1"/>
  <c r="N41" i="10"/>
  <c r="N132" i="10" s="1"/>
  <c r="M41" i="10"/>
  <c r="M132" i="10" s="1"/>
  <c r="L41" i="10"/>
  <c r="L132" i="10" s="1"/>
  <c r="K41" i="10"/>
  <c r="K132" i="10" s="1"/>
  <c r="J41" i="10"/>
  <c r="J132" i="10" s="1"/>
  <c r="I41" i="10"/>
  <c r="H41" i="10"/>
  <c r="H132" i="10" s="1"/>
  <c r="R38" i="10"/>
  <c r="Q38" i="10"/>
  <c r="P38" i="10"/>
  <c r="O38" i="10"/>
  <c r="O118" i="10" s="1"/>
  <c r="N38" i="10"/>
  <c r="M38" i="10"/>
  <c r="L38" i="10"/>
  <c r="L118" i="10" s="1"/>
  <c r="K38" i="10"/>
  <c r="J38" i="10"/>
  <c r="J133" i="10" s="1"/>
  <c r="I38" i="10"/>
  <c r="H38" i="10"/>
  <c r="R33" i="10"/>
  <c r="Q33" i="10"/>
  <c r="P33" i="10"/>
  <c r="O33" i="10"/>
  <c r="O116" i="10" s="1"/>
  <c r="N33" i="10"/>
  <c r="M33" i="10"/>
  <c r="L33" i="10"/>
  <c r="K33" i="10"/>
  <c r="J33" i="10"/>
  <c r="I33" i="10"/>
  <c r="H33" i="10"/>
  <c r="H116" i="10" s="1"/>
  <c r="I32" i="10"/>
  <c r="R27" i="10"/>
  <c r="R18" i="10" s="1"/>
  <c r="Q27" i="10"/>
  <c r="Q108" i="10" s="1"/>
  <c r="P27" i="10"/>
  <c r="O27" i="10"/>
  <c r="N27" i="10"/>
  <c r="M27" i="10"/>
  <c r="L27" i="10"/>
  <c r="K27" i="10"/>
  <c r="K142" i="10" s="1"/>
  <c r="J27" i="10"/>
  <c r="I27" i="10"/>
  <c r="H27" i="10"/>
  <c r="R19" i="10"/>
  <c r="R139" i="10" s="1"/>
  <c r="Q19" i="10"/>
  <c r="P19" i="10"/>
  <c r="P139" i="10" s="1"/>
  <c r="O19" i="10"/>
  <c r="N19" i="10"/>
  <c r="N139" i="10" s="1"/>
  <c r="M19" i="10"/>
  <c r="L19" i="10"/>
  <c r="L139" i="10" s="1"/>
  <c r="K19" i="10"/>
  <c r="J19" i="10"/>
  <c r="J139" i="10" s="1"/>
  <c r="I19" i="10"/>
  <c r="H19" i="10"/>
  <c r="H139" i="10" s="1"/>
  <c r="P18" i="10"/>
  <c r="N18" i="10"/>
  <c r="M18" i="10"/>
  <c r="L18" i="10"/>
  <c r="J18" i="10"/>
  <c r="I18" i="10"/>
  <c r="H18" i="10"/>
  <c r="R10" i="10"/>
  <c r="Q10" i="10"/>
  <c r="P10" i="10"/>
  <c r="O10" i="10"/>
  <c r="N10" i="10"/>
  <c r="M10" i="10"/>
  <c r="L10" i="10"/>
  <c r="K10" i="10"/>
  <c r="J10" i="10"/>
  <c r="I10" i="10"/>
  <c r="H10" i="10"/>
  <c r="H138" i="10" s="1"/>
  <c r="R5" i="10"/>
  <c r="Q5" i="10"/>
  <c r="P5" i="10"/>
  <c r="O5" i="10"/>
  <c r="O4" i="10" s="1"/>
  <c r="N5" i="10"/>
  <c r="N4" i="10" s="1"/>
  <c r="M5" i="10"/>
  <c r="L5" i="10"/>
  <c r="K5" i="10"/>
  <c r="K4" i="10" s="1"/>
  <c r="J5" i="10"/>
  <c r="I5" i="10"/>
  <c r="H5" i="10"/>
  <c r="Q4" i="10"/>
  <c r="L4" i="10"/>
  <c r="H4" i="10"/>
  <c r="R106" i="20" l="1"/>
  <c r="R109" i="20"/>
  <c r="R115" i="20" s="1"/>
  <c r="R119" i="20" s="1"/>
  <c r="R127" i="20" s="1"/>
  <c r="R106" i="19"/>
  <c r="R109" i="19"/>
  <c r="R115" i="19" s="1"/>
  <c r="R119" i="19" s="1"/>
  <c r="R127" i="19" s="1"/>
  <c r="R87" i="18"/>
  <c r="R95" i="18" s="1"/>
  <c r="R57" i="18"/>
  <c r="R73" i="18" s="1"/>
  <c r="Q106" i="18"/>
  <c r="Q109" i="18"/>
  <c r="Q115" i="18" s="1"/>
  <c r="Q119" i="18" s="1"/>
  <c r="Q127" i="18" s="1"/>
  <c r="Q87" i="17"/>
  <c r="Q95" i="17" s="1"/>
  <c r="Q57" i="17"/>
  <c r="Q73" i="17" s="1"/>
  <c r="R32" i="17"/>
  <c r="P106" i="17"/>
  <c r="P109" i="17"/>
  <c r="P115" i="17" s="1"/>
  <c r="P119" i="17" s="1"/>
  <c r="P127" i="17" s="1"/>
  <c r="O142" i="16"/>
  <c r="O108" i="16"/>
  <c r="O114" i="16"/>
  <c r="O18" i="16"/>
  <c r="O31" i="16" s="1"/>
  <c r="P32" i="16"/>
  <c r="O57" i="16"/>
  <c r="O73" i="16" s="1"/>
  <c r="O87" i="16"/>
  <c r="O95" i="16" s="1"/>
  <c r="P94" i="16"/>
  <c r="P27" i="16"/>
  <c r="Q29" i="16"/>
  <c r="N109" i="16"/>
  <c r="N115" i="16" s="1"/>
  <c r="N119" i="16" s="1"/>
  <c r="N127" i="16" s="1"/>
  <c r="N106" i="16"/>
  <c r="R30" i="15"/>
  <c r="R51" i="15"/>
  <c r="R135" i="15" s="1"/>
  <c r="P87" i="15"/>
  <c r="P95" i="15" s="1"/>
  <c r="Q32" i="15"/>
  <c r="P57" i="15"/>
  <c r="P73" i="15" s="1"/>
  <c r="O142" i="15"/>
  <c r="O108" i="15"/>
  <c r="O114" i="15"/>
  <c r="O18" i="15"/>
  <c r="O31" i="15" s="1"/>
  <c r="O109" i="15"/>
  <c r="O115" i="15" s="1"/>
  <c r="O119" i="15" s="1"/>
  <c r="O127" i="15" s="1"/>
  <c r="O106" i="15"/>
  <c r="P27" i="15"/>
  <c r="Q29" i="15"/>
  <c r="P94" i="15"/>
  <c r="M106" i="14"/>
  <c r="M109" i="14"/>
  <c r="M115" i="14" s="1"/>
  <c r="M119" i="14" s="1"/>
  <c r="M127" i="14" s="1"/>
  <c r="N87" i="14"/>
  <c r="N95" i="14" s="1"/>
  <c r="O32" i="14"/>
  <c r="N57" i="14"/>
  <c r="N73" i="14" s="1"/>
  <c r="K109" i="13"/>
  <c r="K115" i="13" s="1"/>
  <c r="K119" i="13" s="1"/>
  <c r="K127" i="13" s="1"/>
  <c r="K106" i="13"/>
  <c r="N142" i="13"/>
  <c r="N114" i="13"/>
  <c r="N108" i="13"/>
  <c r="N18" i="13"/>
  <c r="N31" i="13" s="1"/>
  <c r="Q114" i="13"/>
  <c r="Q142" i="13"/>
  <c r="Q108" i="13"/>
  <c r="Q18" i="13"/>
  <c r="Q31" i="13" s="1"/>
  <c r="P94" i="13"/>
  <c r="P27" i="13"/>
  <c r="P52" i="13"/>
  <c r="L57" i="13"/>
  <c r="L73" i="13" s="1"/>
  <c r="M32" i="13"/>
  <c r="L87" i="13"/>
  <c r="L95" i="13" s="1"/>
  <c r="R94" i="13"/>
  <c r="R52" i="13"/>
  <c r="R27" i="13"/>
  <c r="K135" i="12"/>
  <c r="K52" i="12"/>
  <c r="O102" i="12"/>
  <c r="O90" i="12"/>
  <c r="P128" i="12"/>
  <c r="P91" i="12"/>
  <c r="P46" i="12"/>
  <c r="P116" i="12"/>
  <c r="P113" i="12"/>
  <c r="P89" i="12"/>
  <c r="I135" i="12"/>
  <c r="I52" i="12"/>
  <c r="P5" i="12"/>
  <c r="P105" i="12"/>
  <c r="P96" i="12"/>
  <c r="P98" i="12" s="1"/>
  <c r="Q6" i="12"/>
  <c r="N135" i="12"/>
  <c r="N52" i="12"/>
  <c r="J106" i="12"/>
  <c r="J109" i="12"/>
  <c r="J115" i="12" s="1"/>
  <c r="J119" i="12" s="1"/>
  <c r="J127" i="12" s="1"/>
  <c r="O123" i="12"/>
  <c r="O124" i="12"/>
  <c r="O120" i="12"/>
  <c r="O122" i="12"/>
  <c r="O121" i="12"/>
  <c r="O125" i="12"/>
  <c r="Q130" i="12"/>
  <c r="Q33" i="12"/>
  <c r="R36" i="12"/>
  <c r="M135" i="12"/>
  <c r="M52" i="12"/>
  <c r="O100" i="12"/>
  <c r="O99" i="12"/>
  <c r="Q29" i="12"/>
  <c r="P94" i="12"/>
  <c r="P27" i="12"/>
  <c r="O134" i="12"/>
  <c r="O48" i="12"/>
  <c r="O51" i="12" s="1"/>
  <c r="O93" i="12"/>
  <c r="O92" i="12"/>
  <c r="O88" i="12"/>
  <c r="N136" i="12"/>
  <c r="N107" i="12"/>
  <c r="N31" i="12"/>
  <c r="N112" i="12"/>
  <c r="N114" i="12"/>
  <c r="N110" i="12"/>
  <c r="L135" i="12"/>
  <c r="L52" i="12"/>
  <c r="O142" i="12"/>
  <c r="O108" i="12"/>
  <c r="O18" i="12"/>
  <c r="H135" i="12"/>
  <c r="H52" i="12"/>
  <c r="L32" i="12"/>
  <c r="K57" i="12"/>
  <c r="K73" i="12" s="1"/>
  <c r="K87" i="12"/>
  <c r="K95" i="12" s="1"/>
  <c r="O137" i="12"/>
  <c r="O4" i="12"/>
  <c r="O103" i="12"/>
  <c r="O104" i="12"/>
  <c r="L102" i="11"/>
  <c r="L90" i="11"/>
  <c r="N102" i="11"/>
  <c r="N90" i="11"/>
  <c r="R125" i="11"/>
  <c r="R121" i="11"/>
  <c r="R122" i="11"/>
  <c r="R123" i="11"/>
  <c r="R124" i="11"/>
  <c r="R120" i="11"/>
  <c r="N125" i="11"/>
  <c r="N121" i="11"/>
  <c r="N122" i="11"/>
  <c r="N123" i="11"/>
  <c r="N124" i="11"/>
  <c r="N120" i="11"/>
  <c r="Q107" i="11"/>
  <c r="Q136" i="11"/>
  <c r="O102" i="11"/>
  <c r="O90" i="11"/>
  <c r="O134" i="11"/>
  <c r="O93" i="11"/>
  <c r="O48" i="11"/>
  <c r="O51" i="11" s="1"/>
  <c r="O92" i="11"/>
  <c r="O88" i="11"/>
  <c r="P123" i="11"/>
  <c r="P124" i="11"/>
  <c r="P120" i="11"/>
  <c r="P125" i="11"/>
  <c r="P121" i="11"/>
  <c r="P122" i="11"/>
  <c r="H123" i="11"/>
  <c r="H124" i="11"/>
  <c r="H120" i="11"/>
  <c r="H125" i="11"/>
  <c r="H121" i="11"/>
  <c r="H122" i="11"/>
  <c r="I134" i="11"/>
  <c r="I88" i="11"/>
  <c r="I93" i="11"/>
  <c r="I92" i="11"/>
  <c r="I48" i="11"/>
  <c r="I51" i="11" s="1"/>
  <c r="J125" i="11"/>
  <c r="J121" i="11"/>
  <c r="J122" i="11"/>
  <c r="J123" i="11"/>
  <c r="J124" i="11"/>
  <c r="J120" i="11"/>
  <c r="R136" i="11"/>
  <c r="R107" i="11"/>
  <c r="M135" i="11"/>
  <c r="M52" i="11"/>
  <c r="Q112" i="11"/>
  <c r="P135" i="11"/>
  <c r="P52" i="11"/>
  <c r="M124" i="11"/>
  <c r="M120" i="11"/>
  <c r="M125" i="11"/>
  <c r="M121" i="11"/>
  <c r="M122" i="11"/>
  <c r="M123" i="11"/>
  <c r="M107" i="11"/>
  <c r="M136" i="11"/>
  <c r="M99" i="11"/>
  <c r="M100" i="11"/>
  <c r="O100" i="11"/>
  <c r="O99" i="11"/>
  <c r="Q110" i="11"/>
  <c r="K136" i="11"/>
  <c r="K107" i="11"/>
  <c r="O122" i="11"/>
  <c r="O123" i="11"/>
  <c r="O124" i="11"/>
  <c r="O120" i="11"/>
  <c r="O125" i="11"/>
  <c r="O121" i="11"/>
  <c r="N134" i="11"/>
  <c r="N92" i="11"/>
  <c r="N88" i="11"/>
  <c r="N48" i="11"/>
  <c r="N51" i="11" s="1"/>
  <c r="N93" i="11"/>
  <c r="H135" i="11"/>
  <c r="H52" i="11"/>
  <c r="I124" i="11"/>
  <c r="I120" i="11"/>
  <c r="I125" i="11"/>
  <c r="I121" i="11"/>
  <c r="I122" i="11"/>
  <c r="I123" i="11"/>
  <c r="K134" i="11"/>
  <c r="K93" i="11"/>
  <c r="K48" i="11"/>
  <c r="K51" i="11" s="1"/>
  <c r="K92" i="11"/>
  <c r="K88" i="11"/>
  <c r="J134" i="11"/>
  <c r="J92" i="11"/>
  <c r="J88" i="11"/>
  <c r="J93" i="11"/>
  <c r="J48" i="11"/>
  <c r="J51" i="11" s="1"/>
  <c r="N136" i="11"/>
  <c r="N107" i="11"/>
  <c r="L135" i="11"/>
  <c r="L52" i="11"/>
  <c r="J100" i="11"/>
  <c r="J99" i="11"/>
  <c r="J57" i="11"/>
  <c r="J73" i="11" s="1"/>
  <c r="J87" i="11"/>
  <c r="J95" i="11" s="1"/>
  <c r="K32" i="11"/>
  <c r="K100" i="11"/>
  <c r="K99" i="11"/>
  <c r="K102" i="11"/>
  <c r="K90" i="11"/>
  <c r="P102" i="11"/>
  <c r="P90" i="11"/>
  <c r="R100" i="11"/>
  <c r="R99" i="11"/>
  <c r="L99" i="11"/>
  <c r="L100" i="11"/>
  <c r="L123" i="11"/>
  <c r="L124" i="11"/>
  <c r="L120" i="11"/>
  <c r="L125" i="11"/>
  <c r="L121" i="11"/>
  <c r="L122" i="11"/>
  <c r="J136" i="11"/>
  <c r="J107" i="11"/>
  <c r="Q124" i="11"/>
  <c r="Q120" i="11"/>
  <c r="Q125" i="11"/>
  <c r="Q121" i="11"/>
  <c r="Q122" i="11"/>
  <c r="Q123" i="11"/>
  <c r="H102" i="11"/>
  <c r="H90" i="11"/>
  <c r="Q134" i="11"/>
  <c r="Q88" i="11"/>
  <c r="Q93" i="11"/>
  <c r="Q92" i="11"/>
  <c r="Q48" i="11"/>
  <c r="Q51" i="11" s="1"/>
  <c r="R134" i="11"/>
  <c r="R92" i="11"/>
  <c r="R88" i="11"/>
  <c r="R93" i="11"/>
  <c r="R48" i="11"/>
  <c r="R51" i="11" s="1"/>
  <c r="K29" i="11"/>
  <c r="J27" i="11"/>
  <c r="J94" i="11"/>
  <c r="I107" i="11"/>
  <c r="I136" i="11"/>
  <c r="M102" i="11"/>
  <c r="M90" i="11"/>
  <c r="I142" i="11"/>
  <c r="I108" i="11"/>
  <c r="I114" i="11"/>
  <c r="I18" i="11"/>
  <c r="I31" i="11" s="1"/>
  <c r="P100" i="11"/>
  <c r="P99" i="11"/>
  <c r="H100" i="11"/>
  <c r="H99" i="11"/>
  <c r="N110" i="11"/>
  <c r="I102" i="11"/>
  <c r="I90" i="11"/>
  <c r="I109" i="11"/>
  <c r="I115" i="11" s="1"/>
  <c r="I119" i="11" s="1"/>
  <c r="I127" i="11" s="1"/>
  <c r="I106" i="11"/>
  <c r="I112" i="11"/>
  <c r="K110" i="11"/>
  <c r="N100" i="11"/>
  <c r="H125" i="10"/>
  <c r="H121" i="10"/>
  <c r="H120" i="10"/>
  <c r="H124" i="10"/>
  <c r="H123" i="10"/>
  <c r="H122" i="10"/>
  <c r="N136" i="10"/>
  <c r="N107" i="10"/>
  <c r="N31" i="10"/>
  <c r="K136" i="10"/>
  <c r="K107" i="10"/>
  <c r="O136" i="10"/>
  <c r="O107" i="10"/>
  <c r="O31" i="10"/>
  <c r="H136" i="10"/>
  <c r="H107" i="10"/>
  <c r="H31" i="10"/>
  <c r="Q136" i="10"/>
  <c r="Q107" i="10"/>
  <c r="J104" i="10"/>
  <c r="J103" i="10"/>
  <c r="R104" i="10"/>
  <c r="R137" i="10"/>
  <c r="R103" i="10"/>
  <c r="K110" i="10"/>
  <c r="K138" i="10"/>
  <c r="L117" i="10"/>
  <c r="L112" i="10"/>
  <c r="L116" i="10"/>
  <c r="L91" i="10"/>
  <c r="L46" i="10"/>
  <c r="L128" i="10"/>
  <c r="L89" i="10"/>
  <c r="I131" i="10"/>
  <c r="I118" i="10"/>
  <c r="I105" i="10"/>
  <c r="I46" i="10"/>
  <c r="M131" i="10"/>
  <c r="M118" i="10"/>
  <c r="M105" i="10"/>
  <c r="M133" i="10"/>
  <c r="M46" i="10"/>
  <c r="Q131" i="10"/>
  <c r="Q118" i="10"/>
  <c r="Q133" i="10"/>
  <c r="Q105" i="10"/>
  <c r="Q46" i="10"/>
  <c r="Q89" i="10"/>
  <c r="J4" i="10"/>
  <c r="H137" i="10"/>
  <c r="H104" i="10"/>
  <c r="H103" i="10"/>
  <c r="L137" i="10"/>
  <c r="L104" i="10"/>
  <c r="P137" i="10"/>
  <c r="P104" i="10"/>
  <c r="P103" i="10"/>
  <c r="P4" i="10"/>
  <c r="P114" i="10" s="1"/>
  <c r="I138" i="10"/>
  <c r="M138" i="10"/>
  <c r="M110" i="10"/>
  <c r="Q138" i="10"/>
  <c r="Q110" i="10"/>
  <c r="J128" i="10"/>
  <c r="J117" i="10"/>
  <c r="J116" i="10"/>
  <c r="J89" i="10"/>
  <c r="J113" i="10"/>
  <c r="J112" i="10"/>
  <c r="J91" i="10"/>
  <c r="J46" i="10"/>
  <c r="N128" i="10"/>
  <c r="N113" i="10"/>
  <c r="N112" i="10"/>
  <c r="N117" i="10"/>
  <c r="N116" i="10"/>
  <c r="N89" i="10"/>
  <c r="N91" i="10"/>
  <c r="N46" i="10"/>
  <c r="R128" i="10"/>
  <c r="R113" i="10"/>
  <c r="R89" i="10"/>
  <c r="R91" i="10"/>
  <c r="R46" i="10"/>
  <c r="K133" i="10"/>
  <c r="K131" i="10"/>
  <c r="K118" i="10"/>
  <c r="K105" i="10"/>
  <c r="O134" i="10"/>
  <c r="O92" i="10"/>
  <c r="O88" i="10"/>
  <c r="O48" i="10"/>
  <c r="O51" i="10" s="1"/>
  <c r="I89" i="10"/>
  <c r="O93" i="10"/>
  <c r="L103" i="10"/>
  <c r="H110" i="10"/>
  <c r="R118" i="10"/>
  <c r="J131" i="10"/>
  <c r="K139" i="10"/>
  <c r="K97" i="10"/>
  <c r="K98" i="10" s="1"/>
  <c r="K18" i="10"/>
  <c r="K31" i="10" s="1"/>
  <c r="O139" i="10"/>
  <c r="O97" i="10"/>
  <c r="O98" i="10" s="1"/>
  <c r="O18" i="10"/>
  <c r="H142" i="10"/>
  <c r="H108" i="10"/>
  <c r="L142" i="10"/>
  <c r="L108" i="10"/>
  <c r="L114" i="10"/>
  <c r="P142" i="10"/>
  <c r="P108" i="10"/>
  <c r="I87" i="10"/>
  <c r="I95" i="10" s="1"/>
  <c r="I57" i="10"/>
  <c r="I73" i="10" s="1"/>
  <c r="J32" i="10"/>
  <c r="M89" i="10"/>
  <c r="L113" i="10"/>
  <c r="J137" i="10"/>
  <c r="L136" i="10"/>
  <c r="L107" i="10"/>
  <c r="L31" i="10"/>
  <c r="N104" i="10"/>
  <c r="N137" i="10"/>
  <c r="N103" i="10"/>
  <c r="O110" i="10"/>
  <c r="H117" i="10"/>
  <c r="H112" i="10"/>
  <c r="H128" i="10"/>
  <c r="H113" i="10"/>
  <c r="H91" i="10"/>
  <c r="H46" i="10"/>
  <c r="H89" i="10"/>
  <c r="P117" i="10"/>
  <c r="P128" i="10"/>
  <c r="P113" i="10"/>
  <c r="P91" i="10"/>
  <c r="P46" i="10"/>
  <c r="P116" i="10"/>
  <c r="P89" i="10"/>
  <c r="H100" i="10"/>
  <c r="H99" i="10"/>
  <c r="R123" i="10"/>
  <c r="R122" i="10"/>
  <c r="R121" i="10"/>
  <c r="R120" i="10"/>
  <c r="R125" i="10"/>
  <c r="R124" i="10"/>
  <c r="I133" i="10"/>
  <c r="O138" i="10"/>
  <c r="I4" i="10"/>
  <c r="M4" i="10"/>
  <c r="R4" i="10"/>
  <c r="R114" i="10" s="1"/>
  <c r="K137" i="10"/>
  <c r="K103" i="10"/>
  <c r="K104" i="10"/>
  <c r="O137" i="10"/>
  <c r="O103" i="10"/>
  <c r="O104" i="10"/>
  <c r="L138" i="10"/>
  <c r="L110" i="10"/>
  <c r="P138" i="10"/>
  <c r="P110" i="10"/>
  <c r="I139" i="10"/>
  <c r="I97" i="10"/>
  <c r="I98" i="10" s="1"/>
  <c r="M139" i="10"/>
  <c r="M97" i="10"/>
  <c r="M98" i="10" s="1"/>
  <c r="Q139" i="10"/>
  <c r="Q97" i="10"/>
  <c r="Q98" i="10" s="1"/>
  <c r="Q18" i="10"/>
  <c r="Q31" i="10" s="1"/>
  <c r="J142" i="10"/>
  <c r="J114" i="10"/>
  <c r="J108" i="10"/>
  <c r="N142" i="10"/>
  <c r="N114" i="10"/>
  <c r="N108" i="10"/>
  <c r="R142" i="10"/>
  <c r="R108" i="10"/>
  <c r="R105" i="10"/>
  <c r="K46" i="10"/>
  <c r="P99" i="10"/>
  <c r="N105" i="10"/>
  <c r="H114" i="10"/>
  <c r="R117" i="10"/>
  <c r="O114" i="10"/>
  <c r="O108" i="10"/>
  <c r="K116" i="10"/>
  <c r="K117" i="10"/>
  <c r="K128" i="10"/>
  <c r="K113" i="10"/>
  <c r="K112" i="10"/>
  <c r="O124" i="10"/>
  <c r="O120" i="10"/>
  <c r="O123" i="10"/>
  <c r="O122" i="10"/>
  <c r="O121" i="10"/>
  <c r="H133" i="10"/>
  <c r="H131" i="10"/>
  <c r="H118" i="10"/>
  <c r="P133" i="10"/>
  <c r="P131" i="10"/>
  <c r="P118" i="10"/>
  <c r="N97" i="10"/>
  <c r="N98" i="10" s="1"/>
  <c r="L105" i="10"/>
  <c r="O117" i="10"/>
  <c r="R131" i="10"/>
  <c r="R133" i="10"/>
  <c r="I137" i="10"/>
  <c r="I103" i="10"/>
  <c r="M137" i="10"/>
  <c r="M103" i="10"/>
  <c r="Q137" i="10"/>
  <c r="Q103" i="10"/>
  <c r="J110" i="10"/>
  <c r="J138" i="10"/>
  <c r="N110" i="10"/>
  <c r="N138" i="10"/>
  <c r="R138" i="10"/>
  <c r="I142" i="10"/>
  <c r="I114" i="10"/>
  <c r="M142" i="10"/>
  <c r="M114" i="10"/>
  <c r="M108" i="10"/>
  <c r="Q142" i="10"/>
  <c r="Q114" i="10"/>
  <c r="I113" i="10"/>
  <c r="I117" i="10"/>
  <c r="I116" i="10"/>
  <c r="M113" i="10"/>
  <c r="M128" i="10"/>
  <c r="Q113" i="10"/>
  <c r="Q117" i="10"/>
  <c r="Q116" i="10"/>
  <c r="Q112" i="10"/>
  <c r="N131" i="10"/>
  <c r="N118" i="10"/>
  <c r="J97" i="10"/>
  <c r="J98" i="10" s="1"/>
  <c r="R97" i="10"/>
  <c r="R98" i="10" s="1"/>
  <c r="H105" i="10"/>
  <c r="P105" i="10"/>
  <c r="K108" i="10"/>
  <c r="O112" i="10"/>
  <c r="O113" i="10"/>
  <c r="K114" i="10"/>
  <c r="J118" i="10"/>
  <c r="Q128" i="10"/>
  <c r="L131" i="10"/>
  <c r="L133" i="10"/>
  <c r="O133" i="10"/>
  <c r="O105" i="10"/>
  <c r="K89" i="10"/>
  <c r="O89" i="10"/>
  <c r="I91" i="10"/>
  <c r="M91" i="10"/>
  <c r="Q91" i="10"/>
  <c r="L97" i="10"/>
  <c r="L98" i="10" s="1"/>
  <c r="M104" i="10"/>
  <c r="J105" i="10"/>
  <c r="M116" i="10"/>
  <c r="M117" i="10"/>
  <c r="I128" i="10"/>
  <c r="O131" i="10"/>
  <c r="N133" i="10"/>
  <c r="O142" i="10"/>
  <c r="R141" i="9"/>
  <c r="Q141" i="9"/>
  <c r="P141" i="9"/>
  <c r="O141" i="9"/>
  <c r="N141" i="9"/>
  <c r="M141" i="9"/>
  <c r="R140" i="9"/>
  <c r="Q140" i="9"/>
  <c r="P140" i="9"/>
  <c r="O140" i="9"/>
  <c r="N140" i="9"/>
  <c r="M140" i="9"/>
  <c r="L140" i="9"/>
  <c r="K140" i="9"/>
  <c r="J140" i="9"/>
  <c r="I140" i="9"/>
  <c r="H140" i="9"/>
  <c r="R130" i="9"/>
  <c r="Q130" i="9"/>
  <c r="P130" i="9"/>
  <c r="O130" i="9"/>
  <c r="M130" i="9"/>
  <c r="L130" i="9"/>
  <c r="K130" i="9"/>
  <c r="J130" i="9"/>
  <c r="I130" i="9"/>
  <c r="H130" i="9"/>
  <c r="R129" i="9"/>
  <c r="Q129" i="9"/>
  <c r="P129" i="9"/>
  <c r="O129" i="9"/>
  <c r="N129" i="9"/>
  <c r="M129" i="9"/>
  <c r="L129" i="9"/>
  <c r="K129" i="9"/>
  <c r="J129" i="9"/>
  <c r="I129" i="9"/>
  <c r="H129" i="9"/>
  <c r="L116" i="9"/>
  <c r="L123" i="9" s="1"/>
  <c r="E114" i="9"/>
  <c r="R111" i="9"/>
  <c r="Q111" i="9"/>
  <c r="P111" i="9"/>
  <c r="O111" i="9"/>
  <c r="N111" i="9"/>
  <c r="M111" i="9"/>
  <c r="R101" i="9"/>
  <c r="Q101" i="9"/>
  <c r="P101" i="9"/>
  <c r="O101" i="9"/>
  <c r="N101" i="9"/>
  <c r="M101" i="9"/>
  <c r="L101" i="9"/>
  <c r="K101" i="9"/>
  <c r="J101" i="9"/>
  <c r="I101" i="9"/>
  <c r="H101" i="9"/>
  <c r="N97" i="9"/>
  <c r="N98" i="9" s="1"/>
  <c r="R96" i="9"/>
  <c r="Q96" i="9"/>
  <c r="P96" i="9"/>
  <c r="O96" i="9"/>
  <c r="N96" i="9"/>
  <c r="M96" i="9"/>
  <c r="L96" i="9"/>
  <c r="K96" i="9"/>
  <c r="J96" i="9"/>
  <c r="I96" i="9"/>
  <c r="H96" i="9"/>
  <c r="N94" i="9"/>
  <c r="M94" i="9"/>
  <c r="L94" i="9"/>
  <c r="K94" i="9"/>
  <c r="J94" i="9"/>
  <c r="I94" i="9"/>
  <c r="H94" i="9"/>
  <c r="I91" i="9"/>
  <c r="Q89" i="9"/>
  <c r="H87" i="9"/>
  <c r="H95" i="9" s="1"/>
  <c r="R85" i="9"/>
  <c r="Q85" i="9"/>
  <c r="P85" i="9"/>
  <c r="O85" i="9"/>
  <c r="N85" i="9"/>
  <c r="M85" i="9"/>
  <c r="L85" i="9"/>
  <c r="K85" i="9"/>
  <c r="J85" i="9"/>
  <c r="I85" i="9"/>
  <c r="H85" i="9"/>
  <c r="R71" i="9"/>
  <c r="Q71" i="9"/>
  <c r="P71" i="9"/>
  <c r="O71" i="9"/>
  <c r="M71" i="9"/>
  <c r="L71" i="9"/>
  <c r="K71" i="9"/>
  <c r="J71" i="9"/>
  <c r="I71" i="9"/>
  <c r="H71" i="9"/>
  <c r="N60" i="9"/>
  <c r="N71" i="9" s="1"/>
  <c r="H57" i="9"/>
  <c r="H73" i="9" s="1"/>
  <c r="Q48" i="9"/>
  <c r="Q51" i="9" s="1"/>
  <c r="M48" i="9"/>
  <c r="M51" i="9" s="1"/>
  <c r="I48" i="9"/>
  <c r="I51" i="9" s="1"/>
  <c r="Q46" i="9"/>
  <c r="Q134" i="9" s="1"/>
  <c r="P46" i="9"/>
  <c r="P48" i="9" s="1"/>
  <c r="P51" i="9" s="1"/>
  <c r="M46" i="9"/>
  <c r="M134" i="9" s="1"/>
  <c r="L46" i="9"/>
  <c r="L48" i="9" s="1"/>
  <c r="L51" i="9" s="1"/>
  <c r="I46" i="9"/>
  <c r="I134" i="9" s="1"/>
  <c r="H46" i="9"/>
  <c r="H92" i="9" s="1"/>
  <c r="R41" i="9"/>
  <c r="R132" i="9" s="1"/>
  <c r="Q41" i="9"/>
  <c r="Q132" i="9" s="1"/>
  <c r="P41" i="9"/>
  <c r="P132" i="9" s="1"/>
  <c r="O41" i="9"/>
  <c r="O132" i="9" s="1"/>
  <c r="N41" i="9"/>
  <c r="N132" i="9" s="1"/>
  <c r="M41" i="9"/>
  <c r="M132" i="9" s="1"/>
  <c r="L41" i="9"/>
  <c r="L132" i="9" s="1"/>
  <c r="K41" i="9"/>
  <c r="K132" i="9" s="1"/>
  <c r="J41" i="9"/>
  <c r="J132" i="9" s="1"/>
  <c r="I41" i="9"/>
  <c r="I132" i="9" s="1"/>
  <c r="H41" i="9"/>
  <c r="H132" i="9" s="1"/>
  <c r="R38" i="9"/>
  <c r="R105" i="9" s="1"/>
  <c r="Q38" i="9"/>
  <c r="P38" i="9"/>
  <c r="O38" i="9"/>
  <c r="N38" i="9"/>
  <c r="M38" i="9"/>
  <c r="M133" i="9" s="1"/>
  <c r="L38" i="9"/>
  <c r="K38" i="9"/>
  <c r="K133" i="9" s="1"/>
  <c r="J38" i="9"/>
  <c r="J105" i="9" s="1"/>
  <c r="I38" i="9"/>
  <c r="H38" i="9"/>
  <c r="N36" i="9"/>
  <c r="N130" i="9" s="1"/>
  <c r="R33" i="9"/>
  <c r="R89" i="9" s="1"/>
  <c r="Q33" i="9"/>
  <c r="Q112" i="9" s="1"/>
  <c r="P33" i="9"/>
  <c r="O33" i="9"/>
  <c r="O91" i="9" s="1"/>
  <c r="N33" i="9"/>
  <c r="N89" i="9" s="1"/>
  <c r="M33" i="9"/>
  <c r="M89" i="9" s="1"/>
  <c r="L33" i="9"/>
  <c r="K33" i="9"/>
  <c r="K113" i="9" s="1"/>
  <c r="J33" i="9"/>
  <c r="J46" i="9" s="1"/>
  <c r="I33" i="9"/>
  <c r="I117" i="9" s="1"/>
  <c r="H33" i="9"/>
  <c r="I32" i="9"/>
  <c r="I57" i="9" s="1"/>
  <c r="I73" i="9" s="1"/>
  <c r="O29" i="9"/>
  <c r="N27" i="9"/>
  <c r="M27" i="9"/>
  <c r="L27" i="9"/>
  <c r="K27" i="9"/>
  <c r="J27" i="9"/>
  <c r="J142" i="9" s="1"/>
  <c r="I27" i="9"/>
  <c r="H27" i="9"/>
  <c r="L24" i="9"/>
  <c r="L141" i="9" s="1"/>
  <c r="K24" i="9"/>
  <c r="K141" i="9" s="1"/>
  <c r="J24" i="9"/>
  <c r="J141" i="9" s="1"/>
  <c r="I24" i="9"/>
  <c r="I141" i="9" s="1"/>
  <c r="H24" i="9"/>
  <c r="H141" i="9" s="1"/>
  <c r="R21" i="9"/>
  <c r="R19" i="9" s="1"/>
  <c r="O21" i="9"/>
  <c r="O19" i="9" s="1"/>
  <c r="L21" i="9"/>
  <c r="K21" i="9"/>
  <c r="J21" i="9"/>
  <c r="J19" i="9" s="1"/>
  <c r="I21" i="9"/>
  <c r="I19" i="9" s="1"/>
  <c r="H21" i="9"/>
  <c r="Q19" i="9"/>
  <c r="Q139" i="9" s="1"/>
  <c r="P19" i="9"/>
  <c r="N19" i="9"/>
  <c r="N139" i="9" s="1"/>
  <c r="M19" i="9"/>
  <c r="M139" i="9" s="1"/>
  <c r="L19" i="9"/>
  <c r="L18" i="9" s="1"/>
  <c r="H19" i="9"/>
  <c r="H18" i="9" s="1"/>
  <c r="L15" i="9"/>
  <c r="L111" i="9" s="1"/>
  <c r="K15" i="9"/>
  <c r="K111" i="9" s="1"/>
  <c r="J15" i="9"/>
  <c r="J111" i="9" s="1"/>
  <c r="I15" i="9"/>
  <c r="I111" i="9" s="1"/>
  <c r="H15" i="9"/>
  <c r="H111" i="9" s="1"/>
  <c r="R10" i="9"/>
  <c r="Q10" i="9"/>
  <c r="P10" i="9"/>
  <c r="P4" i="9" s="1"/>
  <c r="O10" i="9"/>
  <c r="N10" i="9"/>
  <c r="M10" i="9"/>
  <c r="K10" i="9"/>
  <c r="K138" i="9" s="1"/>
  <c r="J10" i="9"/>
  <c r="R5" i="9"/>
  <c r="R4" i="9" s="1"/>
  <c r="Q5" i="9"/>
  <c r="Q137" i="9" s="1"/>
  <c r="P5" i="9"/>
  <c r="O5" i="9"/>
  <c r="O4" i="9" s="1"/>
  <c r="N5" i="9"/>
  <c r="M5" i="9"/>
  <c r="M137" i="9" s="1"/>
  <c r="L5" i="9"/>
  <c r="K5" i="9"/>
  <c r="K4" i="9" s="1"/>
  <c r="J5" i="9"/>
  <c r="J4" i="9" s="1"/>
  <c r="I5" i="9"/>
  <c r="I137" i="9" s="1"/>
  <c r="H5" i="9"/>
  <c r="Q4" i="9"/>
  <c r="M4" i="9"/>
  <c r="M136" i="9" s="1"/>
  <c r="R109" i="18" l="1"/>
  <c r="R115" i="18" s="1"/>
  <c r="R119" i="18" s="1"/>
  <c r="R127" i="18" s="1"/>
  <c r="R106" i="18"/>
  <c r="R57" i="17"/>
  <c r="R73" i="17" s="1"/>
  <c r="R87" i="17"/>
  <c r="R95" i="17" s="1"/>
  <c r="Q106" i="17"/>
  <c r="Q109" i="17"/>
  <c r="Q115" i="17" s="1"/>
  <c r="Q119" i="17" s="1"/>
  <c r="Q127" i="17" s="1"/>
  <c r="P57" i="16"/>
  <c r="P73" i="16" s="1"/>
  <c r="P87" i="16"/>
  <c r="P95" i="16" s="1"/>
  <c r="Q32" i="16"/>
  <c r="O109" i="16"/>
  <c r="O115" i="16" s="1"/>
  <c r="O119" i="16" s="1"/>
  <c r="O127" i="16" s="1"/>
  <c r="O106" i="16"/>
  <c r="P114" i="16"/>
  <c r="P108" i="16"/>
  <c r="P142" i="16"/>
  <c r="P18" i="16"/>
  <c r="P31" i="16" s="1"/>
  <c r="R29" i="16"/>
  <c r="Q94" i="16"/>
  <c r="Q27" i="16"/>
  <c r="P114" i="15"/>
  <c r="P142" i="15"/>
  <c r="P108" i="15"/>
  <c r="P18" i="15"/>
  <c r="P31" i="15" s="1"/>
  <c r="Q87" i="15"/>
  <c r="Q95" i="15" s="1"/>
  <c r="R32" i="15"/>
  <c r="Q57" i="15"/>
  <c r="Q73" i="15" s="1"/>
  <c r="P109" i="15"/>
  <c r="P115" i="15" s="1"/>
  <c r="P119" i="15" s="1"/>
  <c r="P127" i="15" s="1"/>
  <c r="P106" i="15"/>
  <c r="R29" i="15"/>
  <c r="Q27" i="15"/>
  <c r="Q94" i="15"/>
  <c r="R52" i="15"/>
  <c r="O87" i="14"/>
  <c r="O95" i="14" s="1"/>
  <c r="O57" i="14"/>
  <c r="O73" i="14" s="1"/>
  <c r="P32" i="14"/>
  <c r="N109" i="14"/>
  <c r="N115" i="14" s="1"/>
  <c r="N119" i="14" s="1"/>
  <c r="N127" i="14" s="1"/>
  <c r="N106" i="14"/>
  <c r="R142" i="13"/>
  <c r="R108" i="13"/>
  <c r="R114" i="13"/>
  <c r="R18" i="13"/>
  <c r="R31" i="13" s="1"/>
  <c r="L109" i="13"/>
  <c r="L115" i="13" s="1"/>
  <c r="L119" i="13" s="1"/>
  <c r="L127" i="13" s="1"/>
  <c r="L106" i="13"/>
  <c r="P142" i="13"/>
  <c r="P108" i="13"/>
  <c r="P114" i="13"/>
  <c r="P18" i="13"/>
  <c r="P31" i="13" s="1"/>
  <c r="M87" i="13"/>
  <c r="M95" i="13" s="1"/>
  <c r="N32" i="13"/>
  <c r="M57" i="13"/>
  <c r="M73" i="13" s="1"/>
  <c r="K106" i="12"/>
  <c r="K109" i="12"/>
  <c r="K115" i="12" s="1"/>
  <c r="K119" i="12" s="1"/>
  <c r="K127" i="12" s="1"/>
  <c r="O135" i="12"/>
  <c r="O52" i="12"/>
  <c r="Q94" i="12"/>
  <c r="R29" i="12"/>
  <c r="Q27" i="12"/>
  <c r="P99" i="12"/>
  <c r="P100" i="12"/>
  <c r="P134" i="12"/>
  <c r="P93" i="12"/>
  <c r="P92" i="12"/>
  <c r="P88" i="12"/>
  <c r="P48" i="12"/>
  <c r="P51" i="12" s="1"/>
  <c r="R130" i="12"/>
  <c r="R33" i="12"/>
  <c r="R117" i="12" s="1"/>
  <c r="P102" i="12"/>
  <c r="P90" i="12"/>
  <c r="O136" i="12"/>
  <c r="O107" i="12"/>
  <c r="O31" i="12"/>
  <c r="O110" i="12"/>
  <c r="O112" i="12"/>
  <c r="L87" i="12"/>
  <c r="L95" i="12" s="1"/>
  <c r="L57" i="12"/>
  <c r="L73" i="12" s="1"/>
  <c r="M32" i="12"/>
  <c r="O114" i="12"/>
  <c r="P142" i="12"/>
  <c r="P108" i="12"/>
  <c r="P18" i="12"/>
  <c r="Q113" i="12"/>
  <c r="Q128" i="12"/>
  <c r="Q116" i="12"/>
  <c r="Q91" i="12"/>
  <c r="Q89" i="12"/>
  <c r="Q46" i="12"/>
  <c r="P137" i="12"/>
  <c r="P103" i="12"/>
  <c r="P104" i="12"/>
  <c r="P4" i="12"/>
  <c r="P114" i="12" s="1"/>
  <c r="Q117" i="12"/>
  <c r="Q96" i="12"/>
  <c r="Q98" i="12" s="1"/>
  <c r="Q105" i="12"/>
  <c r="R6" i="12"/>
  <c r="Q5" i="12"/>
  <c r="P124" i="12"/>
  <c r="P120" i="12"/>
  <c r="P125" i="12"/>
  <c r="P121" i="12"/>
  <c r="P123" i="12"/>
  <c r="P122" i="12"/>
  <c r="J142" i="11"/>
  <c r="J108" i="11"/>
  <c r="J114" i="11"/>
  <c r="J18" i="11"/>
  <c r="J31" i="11" s="1"/>
  <c r="J109" i="11"/>
  <c r="J115" i="11" s="1"/>
  <c r="J119" i="11" s="1"/>
  <c r="J127" i="11" s="1"/>
  <c r="J106" i="11"/>
  <c r="K135" i="11"/>
  <c r="K52" i="11"/>
  <c r="N135" i="11"/>
  <c r="N52" i="11"/>
  <c r="O135" i="11"/>
  <c r="O52" i="11"/>
  <c r="I135" i="11"/>
  <c r="I52" i="11"/>
  <c r="J135" i="11"/>
  <c r="J52" i="11"/>
  <c r="L29" i="11"/>
  <c r="K27" i="11"/>
  <c r="K94" i="11"/>
  <c r="R135" i="11"/>
  <c r="R52" i="11"/>
  <c r="Q135" i="11"/>
  <c r="Q52" i="11"/>
  <c r="K57" i="11"/>
  <c r="K73" i="11" s="1"/>
  <c r="K87" i="11"/>
  <c r="K95" i="11" s="1"/>
  <c r="L32" i="11"/>
  <c r="J100" i="10"/>
  <c r="J99" i="10"/>
  <c r="N100" i="10"/>
  <c r="N99" i="10"/>
  <c r="L100" i="10"/>
  <c r="L99" i="10"/>
  <c r="O90" i="10"/>
  <c r="O102" i="10"/>
  <c r="I122" i="10"/>
  <c r="I125" i="10"/>
  <c r="I124" i="10"/>
  <c r="I123" i="10"/>
  <c r="I121" i="10"/>
  <c r="I120" i="10"/>
  <c r="R110" i="10"/>
  <c r="M107" i="10"/>
  <c r="M136" i="10"/>
  <c r="M112" i="10"/>
  <c r="M31" i="10"/>
  <c r="P102" i="10"/>
  <c r="P90" i="10"/>
  <c r="H102" i="10"/>
  <c r="H90" i="10"/>
  <c r="M102" i="10"/>
  <c r="M90" i="10"/>
  <c r="K99" i="10"/>
  <c r="K100" i="10"/>
  <c r="O135" i="10"/>
  <c r="O52" i="10"/>
  <c r="R134" i="10"/>
  <c r="R93" i="10"/>
  <c r="R92" i="10"/>
  <c r="R88" i="10"/>
  <c r="R48" i="10"/>
  <c r="R51" i="10" s="1"/>
  <c r="N102" i="10"/>
  <c r="N90" i="10"/>
  <c r="Q134" i="10"/>
  <c r="Q93" i="10"/>
  <c r="Q92" i="10"/>
  <c r="Q88" i="10"/>
  <c r="Q48" i="10"/>
  <c r="Q51" i="10" s="1"/>
  <c r="L134" i="10"/>
  <c r="L93" i="10"/>
  <c r="L88" i="10"/>
  <c r="L92" i="10"/>
  <c r="L48" i="10"/>
  <c r="L51" i="10" s="1"/>
  <c r="M122" i="10"/>
  <c r="M121" i="10"/>
  <c r="M120" i="10"/>
  <c r="M125" i="10"/>
  <c r="M124" i="10"/>
  <c r="M123" i="10"/>
  <c r="M99" i="10"/>
  <c r="M100" i="10"/>
  <c r="I136" i="10"/>
  <c r="I107" i="10"/>
  <c r="I31" i="10"/>
  <c r="P125" i="10"/>
  <c r="P121" i="10"/>
  <c r="P120" i="10"/>
  <c r="P124" i="10"/>
  <c r="P123" i="10"/>
  <c r="P122" i="10"/>
  <c r="H134" i="10"/>
  <c r="H93" i="10"/>
  <c r="H88" i="10"/>
  <c r="H48" i="10"/>
  <c r="H51" i="10" s="1"/>
  <c r="H92" i="10"/>
  <c r="J87" i="10"/>
  <c r="J95" i="10" s="1"/>
  <c r="J57" i="10"/>
  <c r="J73" i="10" s="1"/>
  <c r="K32" i="10"/>
  <c r="O99" i="10"/>
  <c r="O100" i="10"/>
  <c r="N123" i="10"/>
  <c r="N125" i="10"/>
  <c r="N124" i="10"/>
  <c r="N122" i="10"/>
  <c r="N121" i="10"/>
  <c r="N120" i="10"/>
  <c r="P136" i="10"/>
  <c r="P107" i="10"/>
  <c r="P31" i="10"/>
  <c r="M134" i="10"/>
  <c r="M93" i="10"/>
  <c r="M92" i="10"/>
  <c r="M88" i="10"/>
  <c r="M48" i="10"/>
  <c r="M51" i="10" s="1"/>
  <c r="R100" i="10"/>
  <c r="R99" i="10"/>
  <c r="I112" i="10"/>
  <c r="P100" i="10"/>
  <c r="P134" i="10"/>
  <c r="P93" i="10"/>
  <c r="P88" i="10"/>
  <c r="P48" i="10"/>
  <c r="P51" i="10" s="1"/>
  <c r="P92" i="10"/>
  <c r="P112" i="10"/>
  <c r="R102" i="10"/>
  <c r="R90" i="10"/>
  <c r="N134" i="10"/>
  <c r="N92" i="10"/>
  <c r="N88" i="10"/>
  <c r="N48" i="10"/>
  <c r="N51" i="10" s="1"/>
  <c r="N93" i="10"/>
  <c r="J134" i="10"/>
  <c r="J92" i="10"/>
  <c r="J88" i="10"/>
  <c r="J48" i="10"/>
  <c r="J51" i="10" s="1"/>
  <c r="J93" i="10"/>
  <c r="J102" i="10"/>
  <c r="J90" i="10"/>
  <c r="J136" i="10"/>
  <c r="J107" i="10"/>
  <c r="J31" i="10"/>
  <c r="I134" i="10"/>
  <c r="I93" i="10"/>
  <c r="I92" i="10"/>
  <c r="I88" i="10"/>
  <c r="I48" i="10"/>
  <c r="I51" i="10" s="1"/>
  <c r="L102" i="10"/>
  <c r="L90" i="10"/>
  <c r="L125" i="10"/>
  <c r="L121" i="10"/>
  <c r="L124" i="10"/>
  <c r="L123" i="10"/>
  <c r="L122" i="10"/>
  <c r="L120" i="10"/>
  <c r="K102" i="10"/>
  <c r="K90" i="10"/>
  <c r="Q122" i="10"/>
  <c r="Q125" i="10"/>
  <c r="Q124" i="10"/>
  <c r="Q123" i="10"/>
  <c r="Q121" i="10"/>
  <c r="Q120" i="10"/>
  <c r="K124" i="10"/>
  <c r="K120" i="10"/>
  <c r="K125" i="10"/>
  <c r="K123" i="10"/>
  <c r="K122" i="10"/>
  <c r="K121" i="10"/>
  <c r="K93" i="10"/>
  <c r="K92" i="10"/>
  <c r="K88" i="10"/>
  <c r="K48" i="10"/>
  <c r="K51" i="10" s="1"/>
  <c r="K134" i="10"/>
  <c r="Q99" i="10"/>
  <c r="Q100" i="10"/>
  <c r="I99" i="10"/>
  <c r="I100" i="10"/>
  <c r="R136" i="10"/>
  <c r="R107" i="10"/>
  <c r="R31" i="10"/>
  <c r="I109" i="10"/>
  <c r="I115" i="10" s="1"/>
  <c r="I119" i="10" s="1"/>
  <c r="I127" i="10" s="1"/>
  <c r="I106" i="10"/>
  <c r="I102" i="10"/>
  <c r="I90" i="10"/>
  <c r="R112" i="10"/>
  <c r="J123" i="10"/>
  <c r="J122" i="10"/>
  <c r="J121" i="10"/>
  <c r="J120" i="10"/>
  <c r="J125" i="10"/>
  <c r="J124" i="10"/>
  <c r="I110" i="10"/>
  <c r="Q102" i="10"/>
  <c r="Q90" i="10"/>
  <c r="R136" i="9"/>
  <c r="R107" i="9"/>
  <c r="N99" i="9"/>
  <c r="N100" i="9"/>
  <c r="K136" i="9"/>
  <c r="K107" i="9"/>
  <c r="O107" i="9"/>
  <c r="O136" i="9"/>
  <c r="I139" i="9"/>
  <c r="I97" i="9"/>
  <c r="I98" i="9" s="1"/>
  <c r="I18" i="9"/>
  <c r="O139" i="9"/>
  <c r="O97" i="9"/>
  <c r="O98" i="9" s="1"/>
  <c r="L135" i="9"/>
  <c r="L52" i="9"/>
  <c r="I135" i="9"/>
  <c r="I52" i="9"/>
  <c r="P136" i="9"/>
  <c r="P107" i="9"/>
  <c r="J139" i="9"/>
  <c r="J18" i="9"/>
  <c r="J97" i="9"/>
  <c r="J98" i="9" s="1"/>
  <c r="R139" i="9"/>
  <c r="R97" i="9"/>
  <c r="R98" i="9" s="1"/>
  <c r="M102" i="9"/>
  <c r="M90" i="9"/>
  <c r="M135" i="9"/>
  <c r="M52" i="9"/>
  <c r="J136" i="9"/>
  <c r="J107" i="9"/>
  <c r="J31" i="9"/>
  <c r="J93" i="9"/>
  <c r="J92" i="9"/>
  <c r="J48" i="9"/>
  <c r="J51" i="9" s="1"/>
  <c r="J134" i="9"/>
  <c r="J88" i="9"/>
  <c r="N102" i="9"/>
  <c r="N90" i="9"/>
  <c r="R102" i="9"/>
  <c r="R90" i="9"/>
  <c r="P135" i="9"/>
  <c r="P30" i="9"/>
  <c r="P52" i="9" s="1"/>
  <c r="Q135" i="9"/>
  <c r="Q30" i="9"/>
  <c r="Q52" i="9" s="1"/>
  <c r="H109" i="9"/>
  <c r="H115" i="9" s="1"/>
  <c r="H119" i="9" s="1"/>
  <c r="H127" i="9" s="1"/>
  <c r="H106" i="9"/>
  <c r="H10" i="9"/>
  <c r="N142" i="9"/>
  <c r="N114" i="9"/>
  <c r="N108" i="9"/>
  <c r="H137" i="9"/>
  <c r="H104" i="9"/>
  <c r="L137" i="9"/>
  <c r="L104" i="9"/>
  <c r="P137" i="9"/>
  <c r="P104" i="9"/>
  <c r="I10" i="9"/>
  <c r="M110" i="9"/>
  <c r="M138" i="9"/>
  <c r="Q110" i="9"/>
  <c r="Q138" i="9"/>
  <c r="M18" i="9"/>
  <c r="M31" i="9" s="1"/>
  <c r="K142" i="9"/>
  <c r="K108" i="9"/>
  <c r="K114" i="9"/>
  <c r="H117" i="9"/>
  <c r="H113" i="9"/>
  <c r="H116" i="9"/>
  <c r="H89" i="9"/>
  <c r="L117" i="9"/>
  <c r="L113" i="9"/>
  <c r="L128" i="9"/>
  <c r="L89" i="9"/>
  <c r="P117" i="9"/>
  <c r="P112" i="9"/>
  <c r="P113" i="9"/>
  <c r="P116" i="9"/>
  <c r="P89" i="9"/>
  <c r="H131" i="9"/>
  <c r="H118" i="9"/>
  <c r="H133" i="9"/>
  <c r="H105" i="9"/>
  <c r="L131" i="9"/>
  <c r="L118" i="9"/>
  <c r="L133" i="9"/>
  <c r="L105" i="9"/>
  <c r="P131" i="9"/>
  <c r="P118" i="9"/>
  <c r="P133" i="9"/>
  <c r="P105" i="9"/>
  <c r="N46" i="9"/>
  <c r="R46" i="9"/>
  <c r="I87" i="9"/>
  <c r="I95" i="9" s="1"/>
  <c r="L91" i="9"/>
  <c r="Q91" i="9"/>
  <c r="L92" i="9"/>
  <c r="Q92" i="9"/>
  <c r="Q93" i="9"/>
  <c r="H103" i="9"/>
  <c r="P103" i="9"/>
  <c r="M104" i="9"/>
  <c r="K110" i="9"/>
  <c r="J114" i="9"/>
  <c r="Q136" i="9"/>
  <c r="Q107" i="9"/>
  <c r="N137" i="9"/>
  <c r="N103" i="9"/>
  <c r="K137" i="9"/>
  <c r="K103" i="9"/>
  <c r="K104" i="9"/>
  <c r="L10" i="9"/>
  <c r="J110" i="9"/>
  <c r="J138" i="9"/>
  <c r="N110" i="9"/>
  <c r="N138" i="9"/>
  <c r="R110" i="9"/>
  <c r="R138" i="9"/>
  <c r="N18" i="9"/>
  <c r="K19" i="9"/>
  <c r="H142" i="9"/>
  <c r="H108" i="9"/>
  <c r="L142" i="9"/>
  <c r="L108" i="9"/>
  <c r="I113" i="9"/>
  <c r="I128" i="9"/>
  <c r="M113" i="9"/>
  <c r="M128" i="9"/>
  <c r="M117" i="9"/>
  <c r="M112" i="9"/>
  <c r="M116" i="9"/>
  <c r="Q113" i="9"/>
  <c r="Q128" i="9"/>
  <c r="Q117" i="9"/>
  <c r="I131" i="9"/>
  <c r="I118" i="9"/>
  <c r="I105" i="9"/>
  <c r="I133" i="9"/>
  <c r="M131" i="9"/>
  <c r="M118" i="9"/>
  <c r="M105" i="9"/>
  <c r="Q131" i="9"/>
  <c r="Q118" i="9"/>
  <c r="Q105" i="9"/>
  <c r="Q133" i="9"/>
  <c r="K46" i="9"/>
  <c r="O46" i="9"/>
  <c r="H48" i="9"/>
  <c r="H51" i="9" s="1"/>
  <c r="I89" i="9"/>
  <c r="H91" i="9"/>
  <c r="M91" i="9"/>
  <c r="M92" i="9"/>
  <c r="M93" i="9"/>
  <c r="Q97" i="9"/>
  <c r="Q98" i="9" s="1"/>
  <c r="I103" i="9"/>
  <c r="Q103" i="9"/>
  <c r="N104" i="9"/>
  <c r="K105" i="9"/>
  <c r="M107" i="9"/>
  <c r="I116" i="9"/>
  <c r="N117" i="9"/>
  <c r="K131" i="9"/>
  <c r="J137" i="9"/>
  <c r="J103" i="9"/>
  <c r="O138" i="9"/>
  <c r="O110" i="9"/>
  <c r="H139" i="9"/>
  <c r="H97" i="9"/>
  <c r="H98" i="9" s="1"/>
  <c r="L139" i="9"/>
  <c r="L97" i="9"/>
  <c r="L98" i="9" s="1"/>
  <c r="I142" i="9"/>
  <c r="M114" i="9"/>
  <c r="M142" i="9"/>
  <c r="M108" i="9"/>
  <c r="J128" i="9"/>
  <c r="J116" i="9"/>
  <c r="J113" i="9"/>
  <c r="J117" i="9"/>
  <c r="J112" i="9"/>
  <c r="J91" i="9"/>
  <c r="N128" i="9"/>
  <c r="N116" i="9"/>
  <c r="N91" i="9"/>
  <c r="R128" i="9"/>
  <c r="R116" i="9"/>
  <c r="R113" i="9"/>
  <c r="R117" i="9"/>
  <c r="R112" i="9"/>
  <c r="R91" i="9"/>
  <c r="J133" i="9"/>
  <c r="J131" i="9"/>
  <c r="J118" i="9"/>
  <c r="N133" i="9"/>
  <c r="N131" i="9"/>
  <c r="N118" i="9"/>
  <c r="R133" i="9"/>
  <c r="R131" i="9"/>
  <c r="R118" i="9"/>
  <c r="H134" i="9"/>
  <c r="H93" i="9"/>
  <c r="L134" i="9"/>
  <c r="L93" i="9"/>
  <c r="P134" i="9"/>
  <c r="P93" i="9"/>
  <c r="H88" i="9"/>
  <c r="L88" i="9"/>
  <c r="P88" i="9"/>
  <c r="J89" i="9"/>
  <c r="O89" i="9"/>
  <c r="I92" i="9"/>
  <c r="I93" i="9"/>
  <c r="M97" i="9"/>
  <c r="M98" i="9" s="1"/>
  <c r="L103" i="9"/>
  <c r="I104" i="9"/>
  <c r="Q104" i="9"/>
  <c r="N105" i="9"/>
  <c r="I108" i="9"/>
  <c r="N113" i="9"/>
  <c r="L125" i="9"/>
  <c r="L121" i="9"/>
  <c r="L122" i="9"/>
  <c r="L124" i="9"/>
  <c r="L120" i="9"/>
  <c r="K118" i="9"/>
  <c r="H128" i="9"/>
  <c r="R137" i="9"/>
  <c r="R103" i="9"/>
  <c r="P139" i="9"/>
  <c r="P97" i="9"/>
  <c r="P98" i="9" s="1"/>
  <c r="N4" i="9"/>
  <c r="O137" i="9"/>
  <c r="O103" i="9"/>
  <c r="O104" i="9"/>
  <c r="P138" i="9"/>
  <c r="P110" i="9"/>
  <c r="J32" i="9"/>
  <c r="K116" i="9"/>
  <c r="K117" i="9"/>
  <c r="K112" i="9"/>
  <c r="K128" i="9"/>
  <c r="O116" i="9"/>
  <c r="O117" i="9"/>
  <c r="O112" i="9"/>
  <c r="O128" i="9"/>
  <c r="O113" i="9"/>
  <c r="O133" i="9"/>
  <c r="O131" i="9"/>
  <c r="O118" i="9"/>
  <c r="I88" i="9"/>
  <c r="M88" i="9"/>
  <c r="Q88" i="9"/>
  <c r="K89" i="9"/>
  <c r="Q102" i="9"/>
  <c r="Q90" i="9"/>
  <c r="K91" i="9"/>
  <c r="P91" i="9"/>
  <c r="P92" i="9"/>
  <c r="M103" i="9"/>
  <c r="J104" i="9"/>
  <c r="R104" i="9"/>
  <c r="O105" i="9"/>
  <c r="J108" i="9"/>
  <c r="N112" i="9"/>
  <c r="Q116" i="9"/>
  <c r="P128" i="9"/>
  <c r="R141" i="8"/>
  <c r="Q141" i="8"/>
  <c r="P141" i="8"/>
  <c r="O141" i="8"/>
  <c r="N141" i="8"/>
  <c r="M141" i="8"/>
  <c r="L141" i="8"/>
  <c r="K141" i="8"/>
  <c r="J141" i="8"/>
  <c r="I141" i="8"/>
  <c r="H141" i="8"/>
  <c r="R140" i="8"/>
  <c r="Q140" i="8"/>
  <c r="P140" i="8"/>
  <c r="O140" i="8"/>
  <c r="N140" i="8"/>
  <c r="M140" i="8"/>
  <c r="L140" i="8"/>
  <c r="K140" i="8"/>
  <c r="J140" i="8"/>
  <c r="I140" i="8"/>
  <c r="H140" i="8"/>
  <c r="N139" i="8"/>
  <c r="J139" i="8"/>
  <c r="O137" i="8"/>
  <c r="K137" i="8"/>
  <c r="K133" i="8"/>
  <c r="P132" i="8"/>
  <c r="L132" i="8"/>
  <c r="H132" i="8"/>
  <c r="R130" i="8"/>
  <c r="Q130" i="8"/>
  <c r="P130" i="8"/>
  <c r="O130" i="8"/>
  <c r="N130" i="8"/>
  <c r="M130" i="8"/>
  <c r="L130" i="8"/>
  <c r="K130" i="8"/>
  <c r="J130" i="8"/>
  <c r="I130" i="8"/>
  <c r="H130" i="8"/>
  <c r="R129" i="8"/>
  <c r="Q129" i="8"/>
  <c r="P129" i="8"/>
  <c r="O129" i="8"/>
  <c r="N129" i="8"/>
  <c r="M129" i="8"/>
  <c r="L129" i="8"/>
  <c r="K129" i="8"/>
  <c r="J129" i="8"/>
  <c r="I129" i="8"/>
  <c r="H129" i="8"/>
  <c r="N128" i="8"/>
  <c r="J128" i="8"/>
  <c r="N125" i="8"/>
  <c r="J125" i="8"/>
  <c r="J123" i="8"/>
  <c r="J122" i="8"/>
  <c r="J121" i="8"/>
  <c r="R117" i="8"/>
  <c r="Q117" i="8"/>
  <c r="N117" i="8"/>
  <c r="Q116" i="8"/>
  <c r="E114" i="8"/>
  <c r="N113" i="8"/>
  <c r="J113" i="8"/>
  <c r="I113" i="8"/>
  <c r="N111" i="8"/>
  <c r="M111" i="8"/>
  <c r="L111" i="8"/>
  <c r="K111" i="8"/>
  <c r="J111" i="8"/>
  <c r="I111" i="8"/>
  <c r="H111" i="8"/>
  <c r="N108" i="8"/>
  <c r="O104" i="8"/>
  <c r="K104" i="8"/>
  <c r="R103" i="8"/>
  <c r="O103" i="8"/>
  <c r="N103" i="8"/>
  <c r="K103" i="8"/>
  <c r="J103" i="8"/>
  <c r="R101" i="8"/>
  <c r="Q101" i="8"/>
  <c r="P101" i="8"/>
  <c r="O101" i="8"/>
  <c r="N101" i="8"/>
  <c r="M101" i="8"/>
  <c r="L101" i="8"/>
  <c r="K101" i="8"/>
  <c r="J101" i="8"/>
  <c r="I101" i="8"/>
  <c r="H101" i="8"/>
  <c r="R97" i="8"/>
  <c r="R98" i="8" s="1"/>
  <c r="Q97" i="8"/>
  <c r="Q98" i="8" s="1"/>
  <c r="N97" i="8"/>
  <c r="N98" i="8" s="1"/>
  <c r="M97" i="8"/>
  <c r="M98" i="8" s="1"/>
  <c r="L97" i="8"/>
  <c r="L98" i="8" s="1"/>
  <c r="L99" i="8" s="1"/>
  <c r="J97" i="8"/>
  <c r="J98" i="8" s="1"/>
  <c r="R96" i="8"/>
  <c r="Q96" i="8"/>
  <c r="P96" i="8"/>
  <c r="O96" i="8"/>
  <c r="N96" i="8"/>
  <c r="M96" i="8"/>
  <c r="L96" i="8"/>
  <c r="K96" i="8"/>
  <c r="J96" i="8"/>
  <c r="I96" i="8"/>
  <c r="H96" i="8"/>
  <c r="R94" i="8"/>
  <c r="Q94" i="8"/>
  <c r="P94" i="8"/>
  <c r="O94" i="8"/>
  <c r="N94" i="8"/>
  <c r="M94" i="8"/>
  <c r="K94" i="8"/>
  <c r="J94" i="8"/>
  <c r="I94" i="8"/>
  <c r="H94" i="8"/>
  <c r="J91" i="8"/>
  <c r="J89" i="8"/>
  <c r="J90" i="8" s="1"/>
  <c r="H87" i="8"/>
  <c r="H95" i="8" s="1"/>
  <c r="R85" i="8"/>
  <c r="Q85" i="8"/>
  <c r="P85" i="8"/>
  <c r="O85" i="8"/>
  <c r="N85" i="8"/>
  <c r="M85" i="8"/>
  <c r="L85" i="8"/>
  <c r="K85" i="8"/>
  <c r="J85" i="8"/>
  <c r="I85" i="8"/>
  <c r="H85" i="8"/>
  <c r="H73" i="8"/>
  <c r="R71" i="8"/>
  <c r="Q71" i="8"/>
  <c r="P71" i="8"/>
  <c r="O71" i="8"/>
  <c r="N71" i="8"/>
  <c r="M71" i="8"/>
  <c r="L71" i="8"/>
  <c r="K71" i="8"/>
  <c r="J71" i="8"/>
  <c r="I71" i="8"/>
  <c r="H71" i="8"/>
  <c r="J57" i="8"/>
  <c r="J73" i="8" s="1"/>
  <c r="H57" i="8"/>
  <c r="R41" i="8"/>
  <c r="R132" i="8" s="1"/>
  <c r="Q41" i="8"/>
  <c r="Q132" i="8" s="1"/>
  <c r="P41" i="8"/>
  <c r="O41" i="8"/>
  <c r="O132" i="8" s="1"/>
  <c r="N41" i="8"/>
  <c r="N132" i="8" s="1"/>
  <c r="M41" i="8"/>
  <c r="M132" i="8" s="1"/>
  <c r="L41" i="8"/>
  <c r="K41" i="8"/>
  <c r="J41" i="8"/>
  <c r="J132" i="8" s="1"/>
  <c r="I41" i="8"/>
  <c r="I132" i="8" s="1"/>
  <c r="H41" i="8"/>
  <c r="R38" i="8"/>
  <c r="Q38" i="8"/>
  <c r="Q118" i="8" s="1"/>
  <c r="P38" i="8"/>
  <c r="P105" i="8" s="1"/>
  <c r="O38" i="8"/>
  <c r="O133" i="8" s="1"/>
  <c r="N38" i="8"/>
  <c r="M38" i="8"/>
  <c r="L38" i="8"/>
  <c r="K38" i="8"/>
  <c r="J38" i="8"/>
  <c r="I38" i="8"/>
  <c r="H38" i="8"/>
  <c r="R33" i="8"/>
  <c r="R116" i="8" s="1"/>
  <c r="Q33" i="8"/>
  <c r="P33" i="8"/>
  <c r="O33" i="8"/>
  <c r="O91" i="8" s="1"/>
  <c r="N33" i="8"/>
  <c r="N116" i="8" s="1"/>
  <c r="M33" i="8"/>
  <c r="L33" i="8"/>
  <c r="K33" i="8"/>
  <c r="J33" i="8"/>
  <c r="J116" i="8" s="1"/>
  <c r="I33" i="8"/>
  <c r="H33" i="8"/>
  <c r="H128" i="8" s="1"/>
  <c r="J32" i="8"/>
  <c r="J87" i="8" s="1"/>
  <c r="J95" i="8" s="1"/>
  <c r="I32" i="8"/>
  <c r="I87" i="8" s="1"/>
  <c r="I95" i="8" s="1"/>
  <c r="I109" i="8" s="1"/>
  <c r="I115" i="8" s="1"/>
  <c r="I119" i="8" s="1"/>
  <c r="I127" i="8" s="1"/>
  <c r="L29" i="8"/>
  <c r="L94" i="8" s="1"/>
  <c r="R27" i="8"/>
  <c r="R142" i="8" s="1"/>
  <c r="Q27" i="8"/>
  <c r="P27" i="8"/>
  <c r="O27" i="8"/>
  <c r="N27" i="8"/>
  <c r="N142" i="8" s="1"/>
  <c r="M27" i="8"/>
  <c r="M142" i="8" s="1"/>
  <c r="L27" i="8"/>
  <c r="K27" i="8"/>
  <c r="J27" i="8"/>
  <c r="I27" i="8"/>
  <c r="I142" i="8" s="1"/>
  <c r="H27" i="8"/>
  <c r="R19" i="8"/>
  <c r="R139" i="8" s="1"/>
  <c r="Q19" i="8"/>
  <c r="P19" i="8"/>
  <c r="P139" i="8" s="1"/>
  <c r="O19" i="8"/>
  <c r="O18" i="8" s="1"/>
  <c r="N19" i="8"/>
  <c r="M19" i="8"/>
  <c r="L19" i="8"/>
  <c r="L139" i="8" s="1"/>
  <c r="K19" i="8"/>
  <c r="K18" i="8" s="1"/>
  <c r="J19" i="8"/>
  <c r="I19" i="8"/>
  <c r="H19" i="8"/>
  <c r="H139" i="8" s="1"/>
  <c r="R18" i="8"/>
  <c r="N18" i="8"/>
  <c r="L18" i="8"/>
  <c r="J18" i="8"/>
  <c r="O15" i="8"/>
  <c r="P15" i="8" s="1"/>
  <c r="P10" i="8" s="1"/>
  <c r="N10" i="8"/>
  <c r="N138" i="8" s="1"/>
  <c r="M10" i="8"/>
  <c r="L10" i="8"/>
  <c r="L138" i="8" s="1"/>
  <c r="K10" i="8"/>
  <c r="J10" i="8"/>
  <c r="I10" i="8"/>
  <c r="H10" i="8"/>
  <c r="H138" i="8" s="1"/>
  <c r="R5" i="8"/>
  <c r="Q5" i="8"/>
  <c r="P5" i="8"/>
  <c r="P104" i="8" s="1"/>
  <c r="O5" i="8"/>
  <c r="N5" i="8"/>
  <c r="M5" i="8"/>
  <c r="L5" i="8"/>
  <c r="K5" i="8"/>
  <c r="J5" i="8"/>
  <c r="I5" i="8"/>
  <c r="H5" i="8"/>
  <c r="H104" i="8" s="1"/>
  <c r="M4" i="8"/>
  <c r="M136" i="8" s="1"/>
  <c r="L4" i="8"/>
  <c r="K4" i="8"/>
  <c r="H4" i="8"/>
  <c r="H136" i="8" s="1"/>
  <c r="R109" i="17" l="1"/>
  <c r="R115" i="17" s="1"/>
  <c r="R119" i="17" s="1"/>
  <c r="R127" i="17" s="1"/>
  <c r="R106" i="17"/>
  <c r="Q142" i="16"/>
  <c r="Q108" i="16"/>
  <c r="Q114" i="16"/>
  <c r="Q18" i="16"/>
  <c r="Q31" i="16" s="1"/>
  <c r="Q57" i="16"/>
  <c r="Q73" i="16" s="1"/>
  <c r="Q87" i="16"/>
  <c r="Q95" i="16" s="1"/>
  <c r="R32" i="16"/>
  <c r="R94" i="16"/>
  <c r="R27" i="16"/>
  <c r="P109" i="16"/>
  <c r="P115" i="16" s="1"/>
  <c r="P119" i="16" s="1"/>
  <c r="P127" i="16" s="1"/>
  <c r="P106" i="16"/>
  <c r="Q142" i="15"/>
  <c r="Q108" i="15"/>
  <c r="Q114" i="15"/>
  <c r="Q18" i="15"/>
  <c r="Q31" i="15" s="1"/>
  <c r="R94" i="15"/>
  <c r="R27" i="15"/>
  <c r="R87" i="15"/>
  <c r="R95" i="15" s="1"/>
  <c r="R57" i="15"/>
  <c r="R73" i="15" s="1"/>
  <c r="Q109" i="15"/>
  <c r="Q115" i="15" s="1"/>
  <c r="Q119" i="15" s="1"/>
  <c r="Q127" i="15" s="1"/>
  <c r="Q106" i="15"/>
  <c r="Q32" i="14"/>
  <c r="P57" i="14"/>
  <c r="P73" i="14" s="1"/>
  <c r="P87" i="14"/>
  <c r="P95" i="14" s="1"/>
  <c r="O106" i="14"/>
  <c r="O109" i="14"/>
  <c r="O115" i="14" s="1"/>
  <c r="O119" i="14" s="1"/>
  <c r="O127" i="14" s="1"/>
  <c r="N57" i="13"/>
  <c r="N73" i="13" s="1"/>
  <c r="N87" i="13"/>
  <c r="N95" i="13" s="1"/>
  <c r="O32" i="13"/>
  <c r="M109" i="13"/>
  <c r="M115" i="13" s="1"/>
  <c r="M119" i="13" s="1"/>
  <c r="M127" i="13" s="1"/>
  <c r="M106" i="13"/>
  <c r="Q125" i="12"/>
  <c r="Q121" i="12"/>
  <c r="Q122" i="12"/>
  <c r="Q124" i="12"/>
  <c r="Q123" i="12"/>
  <c r="Q120" i="12"/>
  <c r="Q103" i="12"/>
  <c r="Q137" i="12"/>
  <c r="Q104" i="12"/>
  <c r="Q4" i="12"/>
  <c r="Q134" i="12"/>
  <c r="Q92" i="12"/>
  <c r="Q88" i="12"/>
  <c r="Q48" i="12"/>
  <c r="Q51" i="12" s="1"/>
  <c r="Q93" i="12"/>
  <c r="Q90" i="12"/>
  <c r="Q102" i="12"/>
  <c r="P135" i="12"/>
  <c r="P52" i="12"/>
  <c r="R27" i="12"/>
  <c r="R94" i="12"/>
  <c r="R105" i="12"/>
  <c r="R96" i="12"/>
  <c r="R98" i="12" s="1"/>
  <c r="R5" i="12"/>
  <c r="P136" i="12"/>
  <c r="P107" i="12"/>
  <c r="P31" i="12"/>
  <c r="P110" i="12"/>
  <c r="P112" i="12"/>
  <c r="M57" i="12"/>
  <c r="M73" i="12" s="1"/>
  <c r="M87" i="12"/>
  <c r="M95" i="12" s="1"/>
  <c r="N32" i="12"/>
  <c r="Q142" i="12"/>
  <c r="Q114" i="12"/>
  <c r="Q108" i="12"/>
  <c r="Q18" i="12"/>
  <c r="Q100" i="12"/>
  <c r="Q99" i="12"/>
  <c r="L106" i="12"/>
  <c r="L109" i="12"/>
  <c r="L115" i="12" s="1"/>
  <c r="L119" i="12" s="1"/>
  <c r="L127" i="12" s="1"/>
  <c r="R128" i="12"/>
  <c r="R116" i="12"/>
  <c r="R89" i="12"/>
  <c r="R113" i="12"/>
  <c r="R91" i="12"/>
  <c r="R46" i="12"/>
  <c r="L87" i="11"/>
  <c r="L95" i="11" s="1"/>
  <c r="M32" i="11"/>
  <c r="L57" i="11"/>
  <c r="L73" i="11" s="1"/>
  <c r="K114" i="11"/>
  <c r="K142" i="11"/>
  <c r="K108" i="11"/>
  <c r="K18" i="11"/>
  <c r="K31" i="11" s="1"/>
  <c r="K109" i="11"/>
  <c r="K115" i="11" s="1"/>
  <c r="K119" i="11" s="1"/>
  <c r="K127" i="11" s="1"/>
  <c r="K106" i="11"/>
  <c r="L94" i="11"/>
  <c r="M29" i="11"/>
  <c r="L27" i="11"/>
  <c r="J135" i="10"/>
  <c r="J52" i="10"/>
  <c r="I135" i="10"/>
  <c r="I52" i="10"/>
  <c r="P52" i="10"/>
  <c r="P135" i="10"/>
  <c r="L32" i="10"/>
  <c r="K87" i="10"/>
  <c r="K95" i="10" s="1"/>
  <c r="K57" i="10"/>
  <c r="K73" i="10" s="1"/>
  <c r="N135" i="10"/>
  <c r="N52" i="10"/>
  <c r="M135" i="10"/>
  <c r="M52" i="10"/>
  <c r="H135" i="10"/>
  <c r="H52" i="10"/>
  <c r="L52" i="10"/>
  <c r="L135" i="10"/>
  <c r="R135" i="10"/>
  <c r="R52" i="10"/>
  <c r="K135" i="10"/>
  <c r="K52" i="10"/>
  <c r="J106" i="10"/>
  <c r="J109" i="10"/>
  <c r="J115" i="10" s="1"/>
  <c r="J119" i="10" s="1"/>
  <c r="J127" i="10" s="1"/>
  <c r="Q135" i="10"/>
  <c r="Q52" i="10"/>
  <c r="H135" i="9"/>
  <c r="H52" i="9"/>
  <c r="O124" i="9"/>
  <c r="O120" i="9"/>
  <c r="O125" i="9"/>
  <c r="O121" i="9"/>
  <c r="O123" i="9"/>
  <c r="O122" i="9"/>
  <c r="K120" i="9"/>
  <c r="K121" i="9"/>
  <c r="K122" i="9"/>
  <c r="N136" i="9"/>
  <c r="N107" i="9"/>
  <c r="N31" i="9"/>
  <c r="N123" i="9"/>
  <c r="N124" i="9"/>
  <c r="N120" i="9"/>
  <c r="N122" i="9"/>
  <c r="N121" i="9"/>
  <c r="N125" i="9"/>
  <c r="O134" i="9"/>
  <c r="O92" i="9"/>
  <c r="O93" i="9"/>
  <c r="O88" i="9"/>
  <c r="O48" i="9"/>
  <c r="O51" i="9" s="1"/>
  <c r="M122" i="9"/>
  <c r="M123" i="9"/>
  <c r="M121" i="9"/>
  <c r="M125" i="9"/>
  <c r="M124" i="9"/>
  <c r="M120" i="9"/>
  <c r="R48" i="9"/>
  <c r="R51" i="9" s="1"/>
  <c r="R134" i="9"/>
  <c r="R93" i="9"/>
  <c r="R92" i="9"/>
  <c r="R88" i="9"/>
  <c r="H102" i="9"/>
  <c r="H90" i="9"/>
  <c r="J99" i="9"/>
  <c r="J100" i="9"/>
  <c r="J102" i="9"/>
  <c r="J90" i="9"/>
  <c r="J123" i="9"/>
  <c r="J124" i="9"/>
  <c r="J120" i="9"/>
  <c r="J122" i="9"/>
  <c r="J125" i="9"/>
  <c r="J121" i="9"/>
  <c r="I102" i="9"/>
  <c r="I90" i="9"/>
  <c r="Q122" i="9"/>
  <c r="Q123" i="9"/>
  <c r="Q125" i="9"/>
  <c r="Q121" i="9"/>
  <c r="Q120" i="9"/>
  <c r="Q124" i="9"/>
  <c r="K90" i="9"/>
  <c r="K102" i="9"/>
  <c r="J87" i="9"/>
  <c r="J95" i="9" s="1"/>
  <c r="J57" i="9"/>
  <c r="J73" i="9" s="1"/>
  <c r="K32" i="9"/>
  <c r="P100" i="9"/>
  <c r="P99" i="9"/>
  <c r="O102" i="9"/>
  <c r="O90" i="9"/>
  <c r="R123" i="9"/>
  <c r="R124" i="9"/>
  <c r="R120" i="9"/>
  <c r="R122" i="9"/>
  <c r="R125" i="9"/>
  <c r="R121" i="9"/>
  <c r="L100" i="9"/>
  <c r="L99" i="9"/>
  <c r="Q100" i="9"/>
  <c r="Q99" i="9"/>
  <c r="K134" i="9"/>
  <c r="K92" i="9"/>
  <c r="K88" i="9"/>
  <c r="K93" i="9"/>
  <c r="K48" i="9"/>
  <c r="K51" i="9" s="1"/>
  <c r="K139" i="9"/>
  <c r="K18" i="9"/>
  <c r="K31" i="9" s="1"/>
  <c r="K97" i="9"/>
  <c r="K98" i="9" s="1"/>
  <c r="L138" i="9"/>
  <c r="L110" i="9"/>
  <c r="L4" i="9"/>
  <c r="N134" i="9"/>
  <c r="N48" i="9"/>
  <c r="N51" i="9" s="1"/>
  <c r="N93" i="9"/>
  <c r="N92" i="9"/>
  <c r="N88" i="9"/>
  <c r="H125" i="9"/>
  <c r="H121" i="9"/>
  <c r="H122" i="9"/>
  <c r="H120" i="9"/>
  <c r="H124" i="9"/>
  <c r="H123" i="9"/>
  <c r="H138" i="9"/>
  <c r="H4" i="9"/>
  <c r="P102" i="9"/>
  <c r="P90" i="9"/>
  <c r="J135" i="9"/>
  <c r="J52" i="9"/>
  <c r="R99" i="9"/>
  <c r="R100" i="9"/>
  <c r="O100" i="9"/>
  <c r="O99" i="9"/>
  <c r="I100" i="9"/>
  <c r="I99" i="9"/>
  <c r="M100" i="9"/>
  <c r="M99" i="9"/>
  <c r="H100" i="9"/>
  <c r="H99" i="9"/>
  <c r="I122" i="9"/>
  <c r="I123" i="9"/>
  <c r="I125" i="9"/>
  <c r="I121" i="9"/>
  <c r="I120" i="9"/>
  <c r="I124" i="9"/>
  <c r="I109" i="9"/>
  <c r="I115" i="9" s="1"/>
  <c r="I119" i="9" s="1"/>
  <c r="I127" i="9" s="1"/>
  <c r="I106" i="9"/>
  <c r="P125" i="9"/>
  <c r="P121" i="9"/>
  <c r="P122" i="9"/>
  <c r="P120" i="9"/>
  <c r="P124" i="9"/>
  <c r="P123" i="9"/>
  <c r="L102" i="9"/>
  <c r="L90" i="9"/>
  <c r="I110" i="9"/>
  <c r="I138" i="9"/>
  <c r="I4" i="9"/>
  <c r="H109" i="8"/>
  <c r="H115" i="8" s="1"/>
  <c r="H119" i="8" s="1"/>
  <c r="H127" i="8" s="1"/>
  <c r="H106" i="8"/>
  <c r="J100" i="8"/>
  <c r="J99" i="8"/>
  <c r="Q100" i="8"/>
  <c r="Q99" i="8"/>
  <c r="J109" i="8"/>
  <c r="J115" i="8" s="1"/>
  <c r="J119" i="8" s="1"/>
  <c r="J127" i="8" s="1"/>
  <c r="J106" i="8"/>
  <c r="R99" i="8"/>
  <c r="M99" i="8"/>
  <c r="N100" i="8"/>
  <c r="N99" i="8"/>
  <c r="L136" i="8"/>
  <c r="L107" i="8"/>
  <c r="H114" i="8"/>
  <c r="H142" i="8"/>
  <c r="P142" i="8"/>
  <c r="P108" i="8"/>
  <c r="K117" i="8"/>
  <c r="K112" i="8"/>
  <c r="K128" i="8"/>
  <c r="K116" i="8"/>
  <c r="K89" i="8"/>
  <c r="K113" i="8"/>
  <c r="L131" i="8"/>
  <c r="L118" i="8"/>
  <c r="L133" i="8"/>
  <c r="P46" i="8"/>
  <c r="L137" i="8"/>
  <c r="L103" i="8"/>
  <c r="I138" i="8"/>
  <c r="L113" i="8"/>
  <c r="L112" i="8"/>
  <c r="L128" i="8"/>
  <c r="I131" i="8"/>
  <c r="I133" i="8"/>
  <c r="I118" i="8"/>
  <c r="M133" i="8"/>
  <c r="M131" i="8"/>
  <c r="R46" i="8"/>
  <c r="L89" i="8"/>
  <c r="Q89" i="8"/>
  <c r="K91" i="8"/>
  <c r="P91" i="8"/>
  <c r="H97" i="8"/>
  <c r="H98" i="8" s="1"/>
  <c r="J102" i="8"/>
  <c r="L104" i="8"/>
  <c r="I105" i="8"/>
  <c r="Q105" i="8"/>
  <c r="H116" i="8"/>
  <c r="H117" i="8"/>
  <c r="I4" i="8"/>
  <c r="I110" i="8" s="1"/>
  <c r="I104" i="8"/>
  <c r="I137" i="8"/>
  <c r="I103" i="8"/>
  <c r="M137" i="8"/>
  <c r="M103" i="8"/>
  <c r="M104" i="8"/>
  <c r="Q137" i="8"/>
  <c r="Q104" i="8"/>
  <c r="Q103" i="8"/>
  <c r="J138" i="8"/>
  <c r="P138" i="8"/>
  <c r="I139" i="8"/>
  <c r="I18" i="8"/>
  <c r="M139" i="8"/>
  <c r="M18" i="8"/>
  <c r="M31" i="8" s="1"/>
  <c r="Q139" i="8"/>
  <c r="Q18" i="8"/>
  <c r="J142" i="8"/>
  <c r="J108" i="8"/>
  <c r="I128" i="8"/>
  <c r="I117" i="8"/>
  <c r="I91" i="8"/>
  <c r="I46" i="8"/>
  <c r="I116" i="8"/>
  <c r="M128" i="8"/>
  <c r="M113" i="8"/>
  <c r="M112" i="8"/>
  <c r="M91" i="8"/>
  <c r="M46" i="8"/>
  <c r="Q128" i="8"/>
  <c r="Q113" i="8"/>
  <c r="Q91" i="8"/>
  <c r="Q46" i="8"/>
  <c r="J133" i="8"/>
  <c r="J131" i="8"/>
  <c r="J118" i="8"/>
  <c r="J105" i="8"/>
  <c r="N133" i="8"/>
  <c r="N131" i="8"/>
  <c r="N118" i="8"/>
  <c r="N105" i="8"/>
  <c r="R133" i="8"/>
  <c r="R105" i="8"/>
  <c r="R131" i="8"/>
  <c r="K132" i="8"/>
  <c r="K131" i="8"/>
  <c r="H46" i="8"/>
  <c r="N46" i="8"/>
  <c r="H89" i="8"/>
  <c r="M89" i="8"/>
  <c r="M100" i="8" s="1"/>
  <c r="R89" i="8"/>
  <c r="L91" i="8"/>
  <c r="R91" i="8"/>
  <c r="I97" i="8"/>
  <c r="I98" i="8" s="1"/>
  <c r="L100" i="8"/>
  <c r="L105" i="8"/>
  <c r="I106" i="8"/>
  <c r="H107" i="8"/>
  <c r="H108" i="8"/>
  <c r="R108" i="8"/>
  <c r="O111" i="8"/>
  <c r="M114" i="8"/>
  <c r="L116" i="8"/>
  <c r="L117" i="8"/>
  <c r="R118" i="8"/>
  <c r="Q121" i="8"/>
  <c r="O128" i="8"/>
  <c r="K107" i="8"/>
  <c r="K136" i="8"/>
  <c r="K31" i="8"/>
  <c r="P4" i="8"/>
  <c r="P112" i="8" s="1"/>
  <c r="J137" i="8"/>
  <c r="J104" i="8"/>
  <c r="J4" i="8"/>
  <c r="J114" i="8" s="1"/>
  <c r="N137" i="8"/>
  <c r="N104" i="8"/>
  <c r="N4" i="8"/>
  <c r="R137" i="8"/>
  <c r="R104" i="8"/>
  <c r="K138" i="8"/>
  <c r="K110" i="8"/>
  <c r="O10" i="8"/>
  <c r="Q15" i="8"/>
  <c r="P18" i="8"/>
  <c r="L31" i="8"/>
  <c r="K32" i="8"/>
  <c r="K105" i="8"/>
  <c r="J46" i="8"/>
  <c r="O46" i="8"/>
  <c r="I89" i="8"/>
  <c r="N89" i="8"/>
  <c r="H91" i="8"/>
  <c r="N91" i="8"/>
  <c r="P97" i="8"/>
  <c r="P98" i="8" s="1"/>
  <c r="M105" i="8"/>
  <c r="I108" i="8"/>
  <c r="H110" i="8"/>
  <c r="P111" i="8"/>
  <c r="O113" i="8"/>
  <c r="M116" i="8"/>
  <c r="M117" i="8"/>
  <c r="K118" i="8"/>
  <c r="O139" i="8"/>
  <c r="O97" i="8"/>
  <c r="O98" i="8" s="1"/>
  <c r="H131" i="8"/>
  <c r="H118" i="8"/>
  <c r="H133" i="8"/>
  <c r="H105" i="8"/>
  <c r="M107" i="8"/>
  <c r="M108" i="8"/>
  <c r="L110" i="8"/>
  <c r="M118" i="8"/>
  <c r="K139" i="8"/>
  <c r="K97" i="8"/>
  <c r="K98" i="8" s="1"/>
  <c r="L114" i="8"/>
  <c r="L142" i="8"/>
  <c r="L108" i="8"/>
  <c r="O117" i="8"/>
  <c r="O116" i="8"/>
  <c r="O89" i="8"/>
  <c r="P131" i="8"/>
  <c r="P118" i="8"/>
  <c r="P133" i="8"/>
  <c r="K46" i="8"/>
  <c r="P89" i="8"/>
  <c r="H103" i="8"/>
  <c r="H137" i="8"/>
  <c r="P137" i="8"/>
  <c r="P103" i="8"/>
  <c r="M110" i="8"/>
  <c r="M138" i="8"/>
  <c r="H18" i="8"/>
  <c r="H31" i="8" s="1"/>
  <c r="Q142" i="8"/>
  <c r="Q108" i="8"/>
  <c r="H113" i="8"/>
  <c r="H112" i="8"/>
  <c r="P113" i="8"/>
  <c r="P128" i="8"/>
  <c r="P117" i="8"/>
  <c r="P116" i="8"/>
  <c r="Q133" i="8"/>
  <c r="Q131" i="8"/>
  <c r="L46" i="8"/>
  <c r="K142" i="8"/>
  <c r="K108" i="8"/>
  <c r="O142" i="8"/>
  <c r="O108" i="8"/>
  <c r="J124" i="8"/>
  <c r="J120" i="8"/>
  <c r="N124" i="8"/>
  <c r="N120" i="8"/>
  <c r="I57" i="8"/>
  <c r="I73" i="8" s="1"/>
  <c r="O105" i="8"/>
  <c r="K114" i="8"/>
  <c r="J117" i="8"/>
  <c r="O118" i="8"/>
  <c r="N121" i="8"/>
  <c r="N122" i="8"/>
  <c r="N123" i="8"/>
  <c r="R128" i="8"/>
  <c r="O131" i="8"/>
  <c r="R141" i="7"/>
  <c r="Q141" i="7"/>
  <c r="P141" i="7"/>
  <c r="O141" i="7"/>
  <c r="N141" i="7"/>
  <c r="M141" i="7"/>
  <c r="I141" i="7"/>
  <c r="R140" i="7"/>
  <c r="Q140" i="7"/>
  <c r="P140" i="7"/>
  <c r="O140" i="7"/>
  <c r="N140" i="7"/>
  <c r="M140" i="7"/>
  <c r="L140" i="7"/>
  <c r="K140" i="7"/>
  <c r="J140" i="7"/>
  <c r="I140" i="7"/>
  <c r="H140" i="7"/>
  <c r="I133" i="7"/>
  <c r="R130" i="7"/>
  <c r="Q130" i="7"/>
  <c r="P130" i="7"/>
  <c r="O130" i="7"/>
  <c r="N130" i="7"/>
  <c r="M130" i="7"/>
  <c r="L130" i="7"/>
  <c r="K130" i="7"/>
  <c r="J130" i="7"/>
  <c r="I130" i="7"/>
  <c r="H130" i="7"/>
  <c r="R129" i="7"/>
  <c r="Q129" i="7"/>
  <c r="P129" i="7"/>
  <c r="O129" i="7"/>
  <c r="N129" i="7"/>
  <c r="M129" i="7"/>
  <c r="L129" i="7"/>
  <c r="K129" i="7"/>
  <c r="J129" i="7"/>
  <c r="I129" i="7"/>
  <c r="H129" i="7"/>
  <c r="R128" i="7"/>
  <c r="P117" i="7"/>
  <c r="K116" i="7"/>
  <c r="E114" i="7"/>
  <c r="R111" i="7"/>
  <c r="Q111" i="7"/>
  <c r="P111" i="7"/>
  <c r="O111" i="7"/>
  <c r="N111" i="7"/>
  <c r="M111" i="7"/>
  <c r="L111" i="7"/>
  <c r="K111" i="7"/>
  <c r="J111" i="7"/>
  <c r="I111" i="7"/>
  <c r="H111" i="7"/>
  <c r="N104" i="7"/>
  <c r="Q103" i="7"/>
  <c r="I103" i="7"/>
  <c r="R101" i="7"/>
  <c r="Q101" i="7"/>
  <c r="P101" i="7"/>
  <c r="O101" i="7"/>
  <c r="N101" i="7"/>
  <c r="M101" i="7"/>
  <c r="L101" i="7"/>
  <c r="K101" i="7"/>
  <c r="J101" i="7"/>
  <c r="I101" i="7"/>
  <c r="H101" i="7"/>
  <c r="R96" i="7"/>
  <c r="Q96" i="7"/>
  <c r="P96" i="7"/>
  <c r="O96" i="7"/>
  <c r="N96" i="7"/>
  <c r="M96" i="7"/>
  <c r="L96" i="7"/>
  <c r="K96" i="7"/>
  <c r="J96" i="7"/>
  <c r="I96" i="7"/>
  <c r="H96" i="7"/>
  <c r="I95" i="7"/>
  <c r="H94" i="7"/>
  <c r="O91" i="7"/>
  <c r="P89" i="7"/>
  <c r="P102" i="7" s="1"/>
  <c r="H87" i="7"/>
  <c r="H95" i="7" s="1"/>
  <c r="R85" i="7"/>
  <c r="Q85" i="7"/>
  <c r="P85" i="7"/>
  <c r="O85" i="7"/>
  <c r="N85" i="7"/>
  <c r="M85" i="7"/>
  <c r="L85" i="7"/>
  <c r="K85" i="7"/>
  <c r="J85" i="7"/>
  <c r="I85" i="7"/>
  <c r="H85" i="7"/>
  <c r="R71" i="7"/>
  <c r="Q71" i="7"/>
  <c r="P71" i="7"/>
  <c r="O71" i="7"/>
  <c r="N71" i="7"/>
  <c r="M71" i="7"/>
  <c r="L71" i="7"/>
  <c r="K71" i="7"/>
  <c r="J71" i="7"/>
  <c r="I71" i="7"/>
  <c r="H71" i="7"/>
  <c r="H57" i="7"/>
  <c r="H73" i="7" s="1"/>
  <c r="P46" i="7"/>
  <c r="L46" i="7"/>
  <c r="H46" i="7"/>
  <c r="R41" i="7"/>
  <c r="R132" i="7" s="1"/>
  <c r="Q41" i="7"/>
  <c r="Q132" i="7" s="1"/>
  <c r="P41" i="7"/>
  <c r="P132" i="7" s="1"/>
  <c r="O41" i="7"/>
  <c r="N41" i="7"/>
  <c r="N132" i="7" s="1"/>
  <c r="M41" i="7"/>
  <c r="M132" i="7" s="1"/>
  <c r="L41" i="7"/>
  <c r="L132" i="7" s="1"/>
  <c r="K41" i="7"/>
  <c r="J41" i="7"/>
  <c r="J132" i="7" s="1"/>
  <c r="I41" i="7"/>
  <c r="I132" i="7" s="1"/>
  <c r="H41" i="7"/>
  <c r="H132" i="7" s="1"/>
  <c r="R38" i="7"/>
  <c r="Q38" i="7"/>
  <c r="P38" i="7"/>
  <c r="O38" i="7"/>
  <c r="N38" i="7"/>
  <c r="M38" i="7"/>
  <c r="L38" i="7"/>
  <c r="K38" i="7"/>
  <c r="K131" i="7" s="1"/>
  <c r="J38" i="7"/>
  <c r="I38" i="7"/>
  <c r="H38" i="7"/>
  <c r="R33" i="7"/>
  <c r="Q33" i="7"/>
  <c r="P33" i="7"/>
  <c r="O33" i="7"/>
  <c r="O116" i="7" s="1"/>
  <c r="N33" i="7"/>
  <c r="N128" i="7" s="1"/>
  <c r="M33" i="7"/>
  <c r="L33" i="7"/>
  <c r="K33" i="7"/>
  <c r="K91" i="7" s="1"/>
  <c r="J33" i="7"/>
  <c r="I33" i="7"/>
  <c r="H33" i="7"/>
  <c r="J32" i="7"/>
  <c r="J87" i="7" s="1"/>
  <c r="J95" i="7" s="1"/>
  <c r="I32" i="7"/>
  <c r="I87" i="7" s="1"/>
  <c r="I29" i="7"/>
  <c r="H27" i="7"/>
  <c r="H108" i="7" s="1"/>
  <c r="L24" i="7"/>
  <c r="K24" i="7"/>
  <c r="K141" i="7" s="1"/>
  <c r="J24" i="7"/>
  <c r="J141" i="7" s="1"/>
  <c r="I24" i="7"/>
  <c r="H24" i="7"/>
  <c r="R21" i="7"/>
  <c r="Q21" i="7"/>
  <c r="Q19" i="7" s="1"/>
  <c r="P21" i="7"/>
  <c r="O21" i="7"/>
  <c r="O19" i="7" s="1"/>
  <c r="N21" i="7"/>
  <c r="M21" i="7"/>
  <c r="M19" i="7" s="1"/>
  <c r="L21" i="7"/>
  <c r="K21" i="7"/>
  <c r="K19" i="7" s="1"/>
  <c r="J21" i="7"/>
  <c r="I21" i="7"/>
  <c r="I19" i="7" s="1"/>
  <c r="H21" i="7"/>
  <c r="R19" i="7"/>
  <c r="P19" i="7"/>
  <c r="N19" i="7"/>
  <c r="J19" i="7"/>
  <c r="R10" i="7"/>
  <c r="R138" i="7" s="1"/>
  <c r="Q10" i="7"/>
  <c r="P10" i="7"/>
  <c r="O10" i="7"/>
  <c r="N10" i="7"/>
  <c r="N138" i="7" s="1"/>
  <c r="M10" i="7"/>
  <c r="L10" i="7"/>
  <c r="K10" i="7"/>
  <c r="J10" i="7"/>
  <c r="J138" i="7" s="1"/>
  <c r="I10" i="7"/>
  <c r="H10" i="7"/>
  <c r="R5" i="7"/>
  <c r="Q5" i="7"/>
  <c r="Q104" i="7" s="1"/>
  <c r="P5" i="7"/>
  <c r="O5" i="7"/>
  <c r="N5" i="7"/>
  <c r="M5" i="7"/>
  <c r="M104" i="7" s="1"/>
  <c r="L5" i="7"/>
  <c r="L104" i="7" s="1"/>
  <c r="K5" i="7"/>
  <c r="J5" i="7"/>
  <c r="I5" i="7"/>
  <c r="I104" i="7" s="1"/>
  <c r="H5" i="7"/>
  <c r="R4" i="7"/>
  <c r="N4" i="7"/>
  <c r="J4" i="7"/>
  <c r="R87" i="16" l="1"/>
  <c r="R95" i="16" s="1"/>
  <c r="R57" i="16"/>
  <c r="R73" i="16" s="1"/>
  <c r="Q109" i="16"/>
  <c r="Q115" i="16" s="1"/>
  <c r="Q119" i="16" s="1"/>
  <c r="Q127" i="16" s="1"/>
  <c r="Q106" i="16"/>
  <c r="R142" i="16"/>
  <c r="R114" i="16"/>
  <c r="R18" i="16"/>
  <c r="R31" i="16" s="1"/>
  <c r="R108" i="16"/>
  <c r="R106" i="15"/>
  <c r="R109" i="15"/>
  <c r="R115" i="15" s="1"/>
  <c r="R119" i="15" s="1"/>
  <c r="R127" i="15" s="1"/>
  <c r="R142" i="15"/>
  <c r="R18" i="15"/>
  <c r="R31" i="15" s="1"/>
  <c r="R108" i="15"/>
  <c r="R114" i="15"/>
  <c r="P109" i="14"/>
  <c r="P115" i="14" s="1"/>
  <c r="P119" i="14" s="1"/>
  <c r="P127" i="14" s="1"/>
  <c r="P106" i="14"/>
  <c r="Q57" i="14"/>
  <c r="Q73" i="14" s="1"/>
  <c r="Q87" i="14"/>
  <c r="Q95" i="14" s="1"/>
  <c r="R32" i="14"/>
  <c r="O87" i="13"/>
  <c r="O95" i="13" s="1"/>
  <c r="O57" i="13"/>
  <c r="O73" i="13" s="1"/>
  <c r="P32" i="13"/>
  <c r="N106" i="13"/>
  <c r="N109" i="13"/>
  <c r="N115" i="13" s="1"/>
  <c r="N119" i="13" s="1"/>
  <c r="N127" i="13" s="1"/>
  <c r="O32" i="12"/>
  <c r="N57" i="12"/>
  <c r="N73" i="12" s="1"/>
  <c r="N87" i="12"/>
  <c r="N95" i="12" s="1"/>
  <c r="R137" i="12"/>
  <c r="R104" i="12"/>
  <c r="R4" i="12"/>
  <c r="R103" i="12"/>
  <c r="R142" i="12"/>
  <c r="R108" i="12"/>
  <c r="R18" i="12"/>
  <c r="R134" i="12"/>
  <c r="R93" i="12"/>
  <c r="R92" i="12"/>
  <c r="R88" i="12"/>
  <c r="R48" i="12"/>
  <c r="R51" i="12" s="1"/>
  <c r="R102" i="12"/>
  <c r="R90" i="12"/>
  <c r="R100" i="12"/>
  <c r="R99" i="12"/>
  <c r="R122" i="12"/>
  <c r="R123" i="12"/>
  <c r="R121" i="12"/>
  <c r="R120" i="12"/>
  <c r="R125" i="12"/>
  <c r="R124" i="12"/>
  <c r="Q135" i="12"/>
  <c r="Q52" i="12"/>
  <c r="Q136" i="12"/>
  <c r="Q107" i="12"/>
  <c r="Q31" i="12"/>
  <c r="Q110" i="12"/>
  <c r="Q112" i="12"/>
  <c r="M109" i="12"/>
  <c r="M115" i="12" s="1"/>
  <c r="M119" i="12" s="1"/>
  <c r="M127" i="12" s="1"/>
  <c r="M106" i="12"/>
  <c r="L142" i="11"/>
  <c r="L114" i="11"/>
  <c r="L108" i="11"/>
  <c r="L18" i="11"/>
  <c r="L31" i="11" s="1"/>
  <c r="M27" i="11"/>
  <c r="M94" i="11"/>
  <c r="N29" i="11"/>
  <c r="M87" i="11"/>
  <c r="M95" i="11" s="1"/>
  <c r="N32" i="11"/>
  <c r="M57" i="11"/>
  <c r="M73" i="11" s="1"/>
  <c r="L106" i="11"/>
  <c r="L109" i="11"/>
  <c r="L115" i="11" s="1"/>
  <c r="L119" i="11" s="1"/>
  <c r="L127" i="11" s="1"/>
  <c r="K109" i="10"/>
  <c r="K115" i="10" s="1"/>
  <c r="K119" i="10" s="1"/>
  <c r="K127" i="10" s="1"/>
  <c r="K106" i="10"/>
  <c r="L87" i="10"/>
  <c r="L95" i="10" s="1"/>
  <c r="L57" i="10"/>
  <c r="L73" i="10" s="1"/>
  <c r="M32" i="10"/>
  <c r="K100" i="9"/>
  <c r="K99" i="9"/>
  <c r="J106" i="9"/>
  <c r="J109" i="9"/>
  <c r="J115" i="9" s="1"/>
  <c r="J119" i="9" s="1"/>
  <c r="J127" i="9" s="1"/>
  <c r="I136" i="9"/>
  <c r="I107" i="9"/>
  <c r="I112" i="9"/>
  <c r="I31" i="9"/>
  <c r="I114" i="9"/>
  <c r="K87" i="9"/>
  <c r="K95" i="9" s="1"/>
  <c r="K57" i="9"/>
  <c r="K73" i="9" s="1"/>
  <c r="L32" i="9"/>
  <c r="O135" i="9"/>
  <c r="O30" i="9"/>
  <c r="K135" i="9"/>
  <c r="K52" i="9"/>
  <c r="R135" i="9"/>
  <c r="R30" i="9"/>
  <c r="K125" i="9"/>
  <c r="N135" i="9"/>
  <c r="N52" i="9"/>
  <c r="H136" i="9"/>
  <c r="H107" i="9"/>
  <c r="H31" i="9"/>
  <c r="H112" i="9"/>
  <c r="H114" i="9"/>
  <c r="H110" i="9"/>
  <c r="L136" i="9"/>
  <c r="L31" i="9"/>
  <c r="L107" i="9"/>
  <c r="L114" i="9"/>
  <c r="L112" i="9"/>
  <c r="K123" i="9"/>
  <c r="K124" i="9"/>
  <c r="O102" i="8"/>
  <c r="O90" i="8"/>
  <c r="N107" i="8"/>
  <c r="N136" i="8"/>
  <c r="N31" i="8"/>
  <c r="N112" i="8"/>
  <c r="N110" i="8"/>
  <c r="N102" i="8"/>
  <c r="N90" i="8"/>
  <c r="Q111" i="8"/>
  <c r="R15" i="8"/>
  <c r="Q10" i="8"/>
  <c r="H102" i="8"/>
  <c r="H90" i="8"/>
  <c r="P110" i="8"/>
  <c r="I114" i="8"/>
  <c r="Q102" i="8"/>
  <c r="Q90" i="8"/>
  <c r="K102" i="8"/>
  <c r="K90" i="8"/>
  <c r="P122" i="8"/>
  <c r="P121" i="8"/>
  <c r="P120" i="8"/>
  <c r="P102" i="8"/>
  <c r="P90" i="8"/>
  <c r="K99" i="8"/>
  <c r="K100" i="8"/>
  <c r="P99" i="8"/>
  <c r="P100" i="8"/>
  <c r="I102" i="8"/>
  <c r="I90" i="8"/>
  <c r="L32" i="8"/>
  <c r="K87" i="8"/>
  <c r="K95" i="8" s="1"/>
  <c r="K57" i="8"/>
  <c r="K73" i="8" s="1"/>
  <c r="O138" i="8"/>
  <c r="O110" i="8"/>
  <c r="O4" i="8"/>
  <c r="P136" i="8"/>
  <c r="P107" i="8"/>
  <c r="P31" i="8"/>
  <c r="N134" i="8"/>
  <c r="N92" i="8"/>
  <c r="N88" i="8"/>
  <c r="N48" i="8"/>
  <c r="N51" i="8" s="1"/>
  <c r="N93" i="8"/>
  <c r="Q134" i="8"/>
  <c r="Q93" i="8"/>
  <c r="Q92" i="8"/>
  <c r="Q88" i="8"/>
  <c r="Q48" i="8"/>
  <c r="Q51" i="8" s="1"/>
  <c r="M134" i="8"/>
  <c r="M93" i="8"/>
  <c r="M92" i="8"/>
  <c r="M88" i="8"/>
  <c r="M48" i="8"/>
  <c r="M51" i="8" s="1"/>
  <c r="I136" i="8"/>
  <c r="I112" i="8"/>
  <c r="I107" i="8"/>
  <c r="I31" i="8"/>
  <c r="H100" i="8"/>
  <c r="H99" i="8"/>
  <c r="L102" i="8"/>
  <c r="L90" i="8"/>
  <c r="K125" i="8"/>
  <c r="K121" i="8"/>
  <c r="K124" i="8"/>
  <c r="K123" i="8"/>
  <c r="K122" i="8"/>
  <c r="K120" i="8"/>
  <c r="Q122" i="8"/>
  <c r="O100" i="8"/>
  <c r="O99" i="8"/>
  <c r="M123" i="8"/>
  <c r="M122" i="8"/>
  <c r="M121" i="8"/>
  <c r="M120" i="8"/>
  <c r="M125" i="8"/>
  <c r="M124" i="8"/>
  <c r="O134" i="8"/>
  <c r="O93" i="8"/>
  <c r="O92" i="8"/>
  <c r="O88" i="8"/>
  <c r="O48" i="8"/>
  <c r="O51" i="8" s="1"/>
  <c r="J107" i="8"/>
  <c r="J136" i="8"/>
  <c r="J31" i="8"/>
  <c r="J112" i="8"/>
  <c r="L122" i="8"/>
  <c r="L125" i="8"/>
  <c r="L124" i="8"/>
  <c r="L123" i="8"/>
  <c r="L121" i="8"/>
  <c r="L120" i="8"/>
  <c r="R90" i="8"/>
  <c r="R102" i="8"/>
  <c r="H134" i="8"/>
  <c r="H93" i="8"/>
  <c r="H92" i="8"/>
  <c r="H88" i="8"/>
  <c r="H48" i="8"/>
  <c r="H51" i="8" s="1"/>
  <c r="I123" i="8"/>
  <c r="I122" i="8"/>
  <c r="I121" i="8"/>
  <c r="I120" i="8"/>
  <c r="I125" i="8"/>
  <c r="I124" i="8"/>
  <c r="J110" i="8"/>
  <c r="R134" i="8"/>
  <c r="R92" i="8"/>
  <c r="R88" i="8"/>
  <c r="R48" i="8"/>
  <c r="R51" i="8" s="1"/>
  <c r="R122" i="8"/>
  <c r="R93" i="8"/>
  <c r="R100" i="8"/>
  <c r="L134" i="8"/>
  <c r="L88" i="8"/>
  <c r="L48" i="8"/>
  <c r="L51" i="8" s="1"/>
  <c r="L93" i="8"/>
  <c r="L92" i="8"/>
  <c r="K134" i="8"/>
  <c r="K93" i="8"/>
  <c r="K92" i="8"/>
  <c r="K88" i="8"/>
  <c r="K48" i="8"/>
  <c r="K51" i="8" s="1"/>
  <c r="O125" i="8"/>
  <c r="O121" i="8"/>
  <c r="O120" i="8"/>
  <c r="O124" i="8"/>
  <c r="O123" i="8"/>
  <c r="O122" i="8"/>
  <c r="N114" i="8"/>
  <c r="J134" i="8"/>
  <c r="J92" i="8"/>
  <c r="J88" i="8"/>
  <c r="J48" i="8"/>
  <c r="J51" i="8" s="1"/>
  <c r="J93" i="8"/>
  <c r="I100" i="8"/>
  <c r="I99" i="8"/>
  <c r="M102" i="8"/>
  <c r="M90" i="8"/>
  <c r="I134" i="8"/>
  <c r="I93" i="8"/>
  <c r="I92" i="8"/>
  <c r="I88" i="8"/>
  <c r="I48" i="8"/>
  <c r="I51" i="8" s="1"/>
  <c r="H122" i="8"/>
  <c r="H125" i="8"/>
  <c r="H124" i="8"/>
  <c r="H123" i="8"/>
  <c r="H121" i="8"/>
  <c r="H120" i="8"/>
  <c r="P134" i="8"/>
  <c r="P88" i="8"/>
  <c r="P48" i="8"/>
  <c r="P51" i="8" s="1"/>
  <c r="P93" i="8"/>
  <c r="P92" i="8"/>
  <c r="P114" i="8"/>
  <c r="R139" i="7"/>
  <c r="R97" i="7"/>
  <c r="R98" i="7" s="1"/>
  <c r="K139" i="7"/>
  <c r="K97" i="7"/>
  <c r="K98" i="7" s="1"/>
  <c r="O97" i="7"/>
  <c r="O98" i="7" s="1"/>
  <c r="O139" i="7"/>
  <c r="H141" i="7"/>
  <c r="H19" i="7"/>
  <c r="L141" i="7"/>
  <c r="L19" i="7"/>
  <c r="I27" i="7"/>
  <c r="J29" i="7"/>
  <c r="L134" i="7"/>
  <c r="L93" i="7"/>
  <c r="L92" i="7"/>
  <c r="L88" i="7"/>
  <c r="L48" i="7"/>
  <c r="L51" i="7" s="1"/>
  <c r="I106" i="7"/>
  <c r="I109" i="7"/>
  <c r="I115" i="7" s="1"/>
  <c r="I119" i="7" s="1"/>
  <c r="I127" i="7" s="1"/>
  <c r="J107" i="7"/>
  <c r="J136" i="7"/>
  <c r="J139" i="7"/>
  <c r="J97" i="7"/>
  <c r="J98" i="7" s="1"/>
  <c r="O121" i="7"/>
  <c r="O120" i="7"/>
  <c r="P134" i="7"/>
  <c r="P93" i="7"/>
  <c r="P92" i="7"/>
  <c r="P48" i="7"/>
  <c r="P51" i="7" s="1"/>
  <c r="N107" i="7"/>
  <c r="N136" i="7"/>
  <c r="N139" i="7"/>
  <c r="N97" i="7"/>
  <c r="N98" i="7" s="1"/>
  <c r="I139" i="7"/>
  <c r="I97" i="7"/>
  <c r="I98" i="7" s="1"/>
  <c r="M139" i="7"/>
  <c r="M97" i="7"/>
  <c r="M98" i="7" s="1"/>
  <c r="Q139" i="7"/>
  <c r="Q97" i="7"/>
  <c r="Q98" i="7" s="1"/>
  <c r="H109" i="7"/>
  <c r="H115" i="7" s="1"/>
  <c r="H119" i="7" s="1"/>
  <c r="H127" i="7" s="1"/>
  <c r="H106" i="7"/>
  <c r="P88" i="7"/>
  <c r="P90" i="7"/>
  <c r="I94" i="7"/>
  <c r="R107" i="7"/>
  <c r="R136" i="7"/>
  <c r="K104" i="7"/>
  <c r="K137" i="7"/>
  <c r="K103" i="7"/>
  <c r="K4" i="7"/>
  <c r="K120" i="7" s="1"/>
  <c r="O137" i="7"/>
  <c r="O104" i="7"/>
  <c r="O4" i="7"/>
  <c r="O103" i="7"/>
  <c r="H110" i="7"/>
  <c r="H138" i="7"/>
  <c r="H4" i="7"/>
  <c r="L138" i="7"/>
  <c r="L4" i="7"/>
  <c r="L110" i="7" s="1"/>
  <c r="P138" i="7"/>
  <c r="P110" i="7"/>
  <c r="P4" i="7"/>
  <c r="J109" i="7"/>
  <c r="J115" i="7" s="1"/>
  <c r="J119" i="7" s="1"/>
  <c r="J127" i="7" s="1"/>
  <c r="J106" i="7"/>
  <c r="I117" i="7"/>
  <c r="I128" i="7"/>
  <c r="I116" i="7"/>
  <c r="I113" i="7"/>
  <c r="I46" i="7"/>
  <c r="I91" i="7"/>
  <c r="I89" i="7"/>
  <c r="M117" i="7"/>
  <c r="M112" i="7"/>
  <c r="M128" i="7"/>
  <c r="M116" i="7"/>
  <c r="M91" i="7"/>
  <c r="M89" i="7"/>
  <c r="M46" i="7"/>
  <c r="M113" i="7"/>
  <c r="Q117" i="7"/>
  <c r="Q128" i="7"/>
  <c r="Q116" i="7"/>
  <c r="Q91" i="7"/>
  <c r="Q89" i="7"/>
  <c r="Q46" i="7"/>
  <c r="Q113" i="7"/>
  <c r="J131" i="7"/>
  <c r="J118" i="7"/>
  <c r="J133" i="7"/>
  <c r="J105" i="7"/>
  <c r="J46" i="7"/>
  <c r="N131" i="7"/>
  <c r="N118" i="7"/>
  <c r="N133" i="7"/>
  <c r="N105" i="7"/>
  <c r="N46" i="7"/>
  <c r="R131" i="7"/>
  <c r="R118" i="7"/>
  <c r="R133" i="7"/>
  <c r="R105" i="7"/>
  <c r="R46" i="7"/>
  <c r="K132" i="7"/>
  <c r="K105" i="7"/>
  <c r="O132" i="7"/>
  <c r="O131" i="7"/>
  <c r="H134" i="7"/>
  <c r="H88" i="7"/>
  <c r="H93" i="7"/>
  <c r="H92" i="7"/>
  <c r="H48" i="7"/>
  <c r="H51" i="7" s="1"/>
  <c r="K89" i="7"/>
  <c r="J91" i="7"/>
  <c r="I4" i="7"/>
  <c r="M4" i="7"/>
  <c r="Q4" i="7"/>
  <c r="J137" i="7"/>
  <c r="J103" i="7"/>
  <c r="N137" i="7"/>
  <c r="N103" i="7"/>
  <c r="R137" i="7"/>
  <c r="R103" i="7"/>
  <c r="K138" i="7"/>
  <c r="O110" i="7"/>
  <c r="O138" i="7"/>
  <c r="K32" i="7"/>
  <c r="H116" i="7"/>
  <c r="H113" i="7"/>
  <c r="H128" i="7"/>
  <c r="H91" i="7"/>
  <c r="L116" i="7"/>
  <c r="L113" i="7"/>
  <c r="L128" i="7"/>
  <c r="L91" i="7"/>
  <c r="P116" i="7"/>
  <c r="P113" i="7"/>
  <c r="P128" i="7"/>
  <c r="P91" i="7"/>
  <c r="I131" i="7"/>
  <c r="M131" i="7"/>
  <c r="Q131" i="7"/>
  <c r="K46" i="7"/>
  <c r="O46" i="7"/>
  <c r="O89" i="7"/>
  <c r="N91" i="7"/>
  <c r="I105" i="7"/>
  <c r="Q105" i="7"/>
  <c r="R110" i="7"/>
  <c r="H112" i="7"/>
  <c r="L117" i="7"/>
  <c r="Q118" i="7"/>
  <c r="I137" i="7"/>
  <c r="K121" i="7"/>
  <c r="K122" i="7"/>
  <c r="M137" i="7"/>
  <c r="H137" i="7"/>
  <c r="H103" i="7"/>
  <c r="L137" i="7"/>
  <c r="L103" i="7"/>
  <c r="P137" i="7"/>
  <c r="P103" i="7"/>
  <c r="I138" i="7"/>
  <c r="I110" i="7"/>
  <c r="M138" i="7"/>
  <c r="M110" i="7"/>
  <c r="Q138" i="7"/>
  <c r="Q110" i="7"/>
  <c r="H142" i="7"/>
  <c r="H114" i="7"/>
  <c r="J113" i="7"/>
  <c r="J116" i="7"/>
  <c r="J117" i="7"/>
  <c r="J112" i="7"/>
  <c r="J89" i="7"/>
  <c r="N113" i="7"/>
  <c r="N116" i="7"/>
  <c r="N117" i="7"/>
  <c r="N112" i="7"/>
  <c r="N89" i="7"/>
  <c r="R113" i="7"/>
  <c r="R116" i="7"/>
  <c r="R117" i="7"/>
  <c r="R112" i="7"/>
  <c r="R89" i="7"/>
  <c r="K133" i="7"/>
  <c r="K118" i="7"/>
  <c r="O133" i="7"/>
  <c r="O118" i="7"/>
  <c r="I57" i="7"/>
  <c r="I73" i="7" s="1"/>
  <c r="L89" i="7"/>
  <c r="H104" i="7"/>
  <c r="P104" i="7"/>
  <c r="M105" i="7"/>
  <c r="J110" i="7"/>
  <c r="P112" i="7"/>
  <c r="I118" i="7"/>
  <c r="M133" i="7"/>
  <c r="Q137" i="7"/>
  <c r="P139" i="7"/>
  <c r="P97" i="7"/>
  <c r="P98" i="7" s="1"/>
  <c r="K128" i="7"/>
  <c r="K117" i="7"/>
  <c r="K112" i="7"/>
  <c r="K113" i="7"/>
  <c r="O128" i="7"/>
  <c r="O117" i="7"/>
  <c r="O112" i="7"/>
  <c r="O113" i="7"/>
  <c r="H133" i="7"/>
  <c r="H131" i="7"/>
  <c r="H118" i="7"/>
  <c r="H105" i="7"/>
  <c r="L133" i="7"/>
  <c r="L131" i="7"/>
  <c r="L118" i="7"/>
  <c r="L105" i="7"/>
  <c r="P133" i="7"/>
  <c r="P131" i="7"/>
  <c r="P118" i="7"/>
  <c r="P105" i="7"/>
  <c r="J57" i="7"/>
  <c r="J73" i="7" s="1"/>
  <c r="H89" i="7"/>
  <c r="R91" i="7"/>
  <c r="M103" i="7"/>
  <c r="J104" i="7"/>
  <c r="R104" i="7"/>
  <c r="O105" i="7"/>
  <c r="N110" i="7"/>
  <c r="H117" i="7"/>
  <c r="M118" i="7"/>
  <c r="J128" i="7"/>
  <c r="Q133" i="7"/>
  <c r="N142" i="6"/>
  <c r="R141" i="6"/>
  <c r="Q141" i="6"/>
  <c r="P141" i="6"/>
  <c r="O141" i="6"/>
  <c r="N141" i="6"/>
  <c r="M141" i="6"/>
  <c r="R140" i="6"/>
  <c r="Q140" i="6"/>
  <c r="P140" i="6"/>
  <c r="O140" i="6"/>
  <c r="N140" i="6"/>
  <c r="M140" i="6"/>
  <c r="L140" i="6"/>
  <c r="K140" i="6"/>
  <c r="J140" i="6"/>
  <c r="I140" i="6"/>
  <c r="H140" i="6"/>
  <c r="P132" i="6"/>
  <c r="L132" i="6"/>
  <c r="R130" i="6"/>
  <c r="Q130" i="6"/>
  <c r="P130" i="6"/>
  <c r="O130" i="6"/>
  <c r="N130" i="6"/>
  <c r="M130" i="6"/>
  <c r="L130" i="6"/>
  <c r="K130" i="6"/>
  <c r="J130" i="6"/>
  <c r="I130" i="6"/>
  <c r="H130" i="6"/>
  <c r="R129" i="6"/>
  <c r="Q129" i="6"/>
  <c r="P129" i="6"/>
  <c r="O129" i="6"/>
  <c r="N129" i="6"/>
  <c r="M129" i="6"/>
  <c r="L129" i="6"/>
  <c r="K129" i="6"/>
  <c r="J129" i="6"/>
  <c r="I129" i="6"/>
  <c r="H129" i="6"/>
  <c r="N117" i="6"/>
  <c r="J117" i="6"/>
  <c r="E114" i="6"/>
  <c r="R113" i="6"/>
  <c r="R111" i="6"/>
  <c r="Q111" i="6"/>
  <c r="P111" i="6"/>
  <c r="O111" i="6"/>
  <c r="N111" i="6"/>
  <c r="M111" i="6"/>
  <c r="J111" i="6"/>
  <c r="I111" i="6"/>
  <c r="H111" i="6"/>
  <c r="R108" i="6"/>
  <c r="J108" i="6"/>
  <c r="R104" i="6"/>
  <c r="N104" i="6"/>
  <c r="R103" i="6"/>
  <c r="N103" i="6"/>
  <c r="R101" i="6"/>
  <c r="Q101" i="6"/>
  <c r="P101" i="6"/>
  <c r="O101" i="6"/>
  <c r="N101" i="6"/>
  <c r="M101" i="6"/>
  <c r="J101" i="6"/>
  <c r="I101" i="6"/>
  <c r="H101" i="6"/>
  <c r="O97" i="6"/>
  <c r="O98" i="6" s="1"/>
  <c r="R96" i="6"/>
  <c r="Q96" i="6"/>
  <c r="P96" i="6"/>
  <c r="O96" i="6"/>
  <c r="N96" i="6"/>
  <c r="M96" i="6"/>
  <c r="L96" i="6"/>
  <c r="K96" i="6"/>
  <c r="J96" i="6"/>
  <c r="I96" i="6"/>
  <c r="H96" i="6"/>
  <c r="R94" i="6"/>
  <c r="Q94" i="6"/>
  <c r="P94" i="6"/>
  <c r="O94" i="6"/>
  <c r="N94" i="6"/>
  <c r="M94" i="6"/>
  <c r="L94" i="6"/>
  <c r="K94" i="6"/>
  <c r="J94" i="6"/>
  <c r="I94" i="6"/>
  <c r="H94" i="6"/>
  <c r="I87" i="6"/>
  <c r="I95" i="6" s="1"/>
  <c r="H87" i="6"/>
  <c r="H95" i="6" s="1"/>
  <c r="R85" i="6"/>
  <c r="Q85" i="6"/>
  <c r="P85" i="6"/>
  <c r="O85" i="6"/>
  <c r="N85" i="6"/>
  <c r="M85" i="6"/>
  <c r="K85" i="6"/>
  <c r="J85" i="6"/>
  <c r="I85" i="6"/>
  <c r="H85" i="6"/>
  <c r="L79" i="6"/>
  <c r="L101" i="6" s="1"/>
  <c r="K79" i="6"/>
  <c r="K101" i="6" s="1"/>
  <c r="H76" i="6"/>
  <c r="R71" i="6"/>
  <c r="Q71" i="6"/>
  <c r="P71" i="6"/>
  <c r="O71" i="6"/>
  <c r="N71" i="6"/>
  <c r="M71" i="6"/>
  <c r="L71" i="6"/>
  <c r="K71" i="6"/>
  <c r="J71" i="6"/>
  <c r="I71" i="6"/>
  <c r="H71" i="6"/>
  <c r="H57" i="6"/>
  <c r="H73" i="6" s="1"/>
  <c r="R41" i="6"/>
  <c r="R132" i="6" s="1"/>
  <c r="Q41" i="6"/>
  <c r="Q132" i="6" s="1"/>
  <c r="P41" i="6"/>
  <c r="O41" i="6"/>
  <c r="O118" i="6" s="1"/>
  <c r="N41" i="6"/>
  <c r="N132" i="6" s="1"/>
  <c r="M41" i="6"/>
  <c r="M132" i="6" s="1"/>
  <c r="L41" i="6"/>
  <c r="K41" i="6"/>
  <c r="K132" i="6" s="1"/>
  <c r="J41" i="6"/>
  <c r="J132" i="6" s="1"/>
  <c r="I41" i="6"/>
  <c r="I132" i="6" s="1"/>
  <c r="H41" i="6"/>
  <c r="H132" i="6" s="1"/>
  <c r="R38" i="6"/>
  <c r="R133" i="6" s="1"/>
  <c r="Q38" i="6"/>
  <c r="P38" i="6"/>
  <c r="O38" i="6"/>
  <c r="O133" i="6" s="1"/>
  <c r="N38" i="6"/>
  <c r="M38" i="6"/>
  <c r="L38" i="6"/>
  <c r="K38" i="6"/>
  <c r="K133" i="6" s="1"/>
  <c r="J38" i="6"/>
  <c r="J133" i="6" s="1"/>
  <c r="I38" i="6"/>
  <c r="I133" i="6" s="1"/>
  <c r="H38" i="6"/>
  <c r="R33" i="6"/>
  <c r="Q33" i="6"/>
  <c r="P33" i="6"/>
  <c r="P128" i="6" s="1"/>
  <c r="O33" i="6"/>
  <c r="O128" i="6" s="1"/>
  <c r="N33" i="6"/>
  <c r="M33" i="6"/>
  <c r="L33" i="6"/>
  <c r="L91" i="6" s="1"/>
  <c r="K33" i="6"/>
  <c r="K89" i="6" s="1"/>
  <c r="J33" i="6"/>
  <c r="I33" i="6"/>
  <c r="I116" i="6" s="1"/>
  <c r="H33" i="6"/>
  <c r="H116" i="6" s="1"/>
  <c r="K32" i="6"/>
  <c r="L32" i="6" s="1"/>
  <c r="J32" i="6"/>
  <c r="J57" i="6" s="1"/>
  <c r="J73" i="6" s="1"/>
  <c r="I32" i="6"/>
  <c r="I57" i="6" s="1"/>
  <c r="I73" i="6" s="1"/>
  <c r="R27" i="6"/>
  <c r="Q27" i="6"/>
  <c r="Q108" i="6" s="1"/>
  <c r="P27" i="6"/>
  <c r="O27" i="6"/>
  <c r="N27" i="6"/>
  <c r="N108" i="6" s="1"/>
  <c r="M27" i="6"/>
  <c r="L27" i="6"/>
  <c r="K27" i="6"/>
  <c r="J27" i="6"/>
  <c r="I27" i="6"/>
  <c r="H27" i="6"/>
  <c r="L24" i="6"/>
  <c r="L141" i="6" s="1"/>
  <c r="K24" i="6"/>
  <c r="K141" i="6" s="1"/>
  <c r="J24" i="6"/>
  <c r="J141" i="6" s="1"/>
  <c r="I24" i="6"/>
  <c r="I141" i="6" s="1"/>
  <c r="H24" i="6"/>
  <c r="H141" i="6" s="1"/>
  <c r="L21" i="6"/>
  <c r="K21" i="6"/>
  <c r="K19" i="6" s="1"/>
  <c r="J21" i="6"/>
  <c r="J19" i="6" s="1"/>
  <c r="I21" i="6"/>
  <c r="H21" i="6"/>
  <c r="R19" i="6"/>
  <c r="R97" i="6" s="1"/>
  <c r="R98" i="6" s="1"/>
  <c r="Q19" i="6"/>
  <c r="P19" i="6"/>
  <c r="P139" i="6" s="1"/>
  <c r="O19" i="6"/>
  <c r="O139" i="6" s="1"/>
  <c r="N19" i="6"/>
  <c r="N139" i="6" s="1"/>
  <c r="M19" i="6"/>
  <c r="L19" i="6"/>
  <c r="L139" i="6" s="1"/>
  <c r="I19" i="6"/>
  <c r="H19" i="6"/>
  <c r="P18" i="6"/>
  <c r="O18" i="6"/>
  <c r="L18" i="6"/>
  <c r="K18" i="6"/>
  <c r="H18" i="6"/>
  <c r="L15" i="6"/>
  <c r="L111" i="6" s="1"/>
  <c r="K15" i="6"/>
  <c r="K111" i="6" s="1"/>
  <c r="R10" i="6"/>
  <c r="R138" i="6" s="1"/>
  <c r="Q10" i="6"/>
  <c r="P10" i="6"/>
  <c r="O10" i="6"/>
  <c r="N10" i="6"/>
  <c r="M10" i="6"/>
  <c r="L10" i="6"/>
  <c r="K10" i="6"/>
  <c r="K138" i="6" s="1"/>
  <c r="J10" i="6"/>
  <c r="J138" i="6" s="1"/>
  <c r="I10" i="6"/>
  <c r="H10" i="6"/>
  <c r="R5" i="6"/>
  <c r="R137" i="6" s="1"/>
  <c r="Q5" i="6"/>
  <c r="Q104" i="6" s="1"/>
  <c r="P5" i="6"/>
  <c r="O5" i="6"/>
  <c r="N5" i="6"/>
  <c r="N137" i="6" s="1"/>
  <c r="M5" i="6"/>
  <c r="M137" i="6" s="1"/>
  <c r="L5" i="6"/>
  <c r="K5" i="6"/>
  <c r="J5" i="6"/>
  <c r="J137" i="6" s="1"/>
  <c r="I5" i="6"/>
  <c r="I104" i="6" s="1"/>
  <c r="H5" i="6"/>
  <c r="R4" i="6"/>
  <c r="O4" i="6"/>
  <c r="N4" i="6"/>
  <c r="J4" i="6"/>
  <c r="R109" i="16" l="1"/>
  <c r="R115" i="16" s="1"/>
  <c r="R119" i="16" s="1"/>
  <c r="R127" i="16" s="1"/>
  <c r="R106" i="16"/>
  <c r="Q106" i="14"/>
  <c r="Q109" i="14"/>
  <c r="Q115" i="14" s="1"/>
  <c r="Q119" i="14" s="1"/>
  <c r="Q127" i="14" s="1"/>
  <c r="R57" i="14"/>
  <c r="R73" i="14" s="1"/>
  <c r="R87" i="14"/>
  <c r="R95" i="14" s="1"/>
  <c r="Q32" i="13"/>
  <c r="P87" i="13"/>
  <c r="P95" i="13" s="1"/>
  <c r="P57" i="13"/>
  <c r="P73" i="13" s="1"/>
  <c r="O109" i="13"/>
  <c r="O115" i="13" s="1"/>
  <c r="O119" i="13" s="1"/>
  <c r="O127" i="13" s="1"/>
  <c r="O106" i="13"/>
  <c r="R135" i="12"/>
  <c r="R52" i="12"/>
  <c r="N109" i="12"/>
  <c r="N115" i="12" s="1"/>
  <c r="N119" i="12" s="1"/>
  <c r="N127" i="12" s="1"/>
  <c r="N106" i="12"/>
  <c r="R136" i="12"/>
  <c r="R107" i="12"/>
  <c r="R31" i="12"/>
  <c r="R110" i="12"/>
  <c r="R112" i="12"/>
  <c r="R114" i="12"/>
  <c r="P32" i="12"/>
  <c r="O57" i="12"/>
  <c r="O73" i="12" s="1"/>
  <c r="O87" i="12"/>
  <c r="O95" i="12" s="1"/>
  <c r="O29" i="11"/>
  <c r="N94" i="11"/>
  <c r="N27" i="11"/>
  <c r="M109" i="11"/>
  <c r="M115" i="11" s="1"/>
  <c r="M119" i="11" s="1"/>
  <c r="M127" i="11" s="1"/>
  <c r="M106" i="11"/>
  <c r="N57" i="11"/>
  <c r="N73" i="11" s="1"/>
  <c r="N87" i="11"/>
  <c r="N95" i="11" s="1"/>
  <c r="O32" i="11"/>
  <c r="M142" i="11"/>
  <c r="M108" i="11"/>
  <c r="M114" i="11"/>
  <c r="M18" i="11"/>
  <c r="M31" i="11" s="1"/>
  <c r="L109" i="10"/>
  <c r="L115" i="10" s="1"/>
  <c r="L119" i="10" s="1"/>
  <c r="L127" i="10" s="1"/>
  <c r="L106" i="10"/>
  <c r="M87" i="10"/>
  <c r="M95" i="10" s="1"/>
  <c r="M57" i="10"/>
  <c r="M73" i="10" s="1"/>
  <c r="N32" i="10"/>
  <c r="R94" i="9"/>
  <c r="R27" i="9"/>
  <c r="R52" i="9"/>
  <c r="K109" i="9"/>
  <c r="K115" i="9" s="1"/>
  <c r="K119" i="9" s="1"/>
  <c r="K127" i="9" s="1"/>
  <c r="K106" i="9"/>
  <c r="L87" i="9"/>
  <c r="L95" i="9" s="1"/>
  <c r="L57" i="9"/>
  <c r="L73" i="9" s="1"/>
  <c r="M32" i="9"/>
  <c r="O52" i="9"/>
  <c r="P29" i="9"/>
  <c r="O27" i="9"/>
  <c r="O94" i="9"/>
  <c r="P135" i="8"/>
  <c r="P52" i="8"/>
  <c r="I135" i="8"/>
  <c r="I52" i="8"/>
  <c r="L135" i="8"/>
  <c r="L52" i="8"/>
  <c r="O114" i="8"/>
  <c r="O136" i="8"/>
  <c r="O31" i="8"/>
  <c r="O107" i="8"/>
  <c r="O112" i="8"/>
  <c r="K109" i="8"/>
  <c r="K115" i="8" s="1"/>
  <c r="K119" i="8" s="1"/>
  <c r="K127" i="8" s="1"/>
  <c r="K106" i="8"/>
  <c r="P123" i="8"/>
  <c r="Q110" i="8"/>
  <c r="Q138" i="8"/>
  <c r="Q4" i="8"/>
  <c r="K135" i="8"/>
  <c r="K52" i="8"/>
  <c r="H135" i="8"/>
  <c r="H52" i="8"/>
  <c r="N135" i="8"/>
  <c r="N52" i="8"/>
  <c r="M32" i="8"/>
  <c r="L57" i="8"/>
  <c r="L73" i="8" s="1"/>
  <c r="L87" i="8"/>
  <c r="L95" i="8" s="1"/>
  <c r="P124" i="8"/>
  <c r="R111" i="8"/>
  <c r="R121" i="8"/>
  <c r="R10" i="8"/>
  <c r="R113" i="8"/>
  <c r="J135" i="8"/>
  <c r="J52" i="8"/>
  <c r="R135" i="8"/>
  <c r="R123" i="8"/>
  <c r="R52" i="8"/>
  <c r="R125" i="8"/>
  <c r="O135" i="8"/>
  <c r="O52" i="8"/>
  <c r="M135" i="8"/>
  <c r="M52" i="8"/>
  <c r="P125" i="8"/>
  <c r="Q135" i="8"/>
  <c r="Q52" i="8"/>
  <c r="Q123" i="8"/>
  <c r="Q125" i="8"/>
  <c r="J122" i="7"/>
  <c r="J120" i="7"/>
  <c r="J121" i="7"/>
  <c r="I136" i="7"/>
  <c r="I107" i="7"/>
  <c r="I31" i="7"/>
  <c r="Q121" i="7"/>
  <c r="Q120" i="7"/>
  <c r="Q122" i="7"/>
  <c r="I102" i="7"/>
  <c r="I90" i="7"/>
  <c r="H102" i="7"/>
  <c r="H90" i="7"/>
  <c r="L90" i="7"/>
  <c r="L102" i="7"/>
  <c r="J102" i="7"/>
  <c r="J90" i="7"/>
  <c r="O102" i="7"/>
  <c r="O90" i="7"/>
  <c r="R93" i="7"/>
  <c r="R92" i="7"/>
  <c r="R134" i="7"/>
  <c r="R88" i="7"/>
  <c r="R48" i="7"/>
  <c r="R51" i="7" s="1"/>
  <c r="Q134" i="7"/>
  <c r="Q92" i="7"/>
  <c r="Q88" i="7"/>
  <c r="Q93" i="7"/>
  <c r="Q48" i="7"/>
  <c r="Q51" i="7" s="1"/>
  <c r="Q123" i="7" s="1"/>
  <c r="M134" i="7"/>
  <c r="M92" i="7"/>
  <c r="M88" i="7"/>
  <c r="M93" i="7"/>
  <c r="M48" i="7"/>
  <c r="M51" i="7" s="1"/>
  <c r="P107" i="7"/>
  <c r="P136" i="7"/>
  <c r="Q100" i="7"/>
  <c r="Q99" i="7"/>
  <c r="I100" i="7"/>
  <c r="I99" i="7"/>
  <c r="L135" i="7"/>
  <c r="L52" i="7"/>
  <c r="O100" i="7"/>
  <c r="O99" i="7"/>
  <c r="P135" i="7"/>
  <c r="P52" i="7"/>
  <c r="R122" i="7"/>
  <c r="R124" i="7"/>
  <c r="R120" i="7"/>
  <c r="R121" i="7"/>
  <c r="R123" i="7"/>
  <c r="O134" i="7"/>
  <c r="O48" i="7"/>
  <c r="O51" i="7" s="1"/>
  <c r="O88" i="7"/>
  <c r="O92" i="7"/>
  <c r="O93" i="7"/>
  <c r="P124" i="7"/>
  <c r="P120" i="7"/>
  <c r="P122" i="7"/>
  <c r="P123" i="7"/>
  <c r="P121" i="7"/>
  <c r="L124" i="7"/>
  <c r="L120" i="7"/>
  <c r="L122" i="7"/>
  <c r="L123" i="7"/>
  <c r="L121" i="7"/>
  <c r="H124" i="7"/>
  <c r="H120" i="7"/>
  <c r="H122" i="7"/>
  <c r="H123" i="7"/>
  <c r="H121" i="7"/>
  <c r="H125" i="7"/>
  <c r="Q136" i="7"/>
  <c r="Q107" i="7"/>
  <c r="N93" i="7"/>
  <c r="N88" i="7"/>
  <c r="N48" i="7"/>
  <c r="N51" i="7" s="1"/>
  <c r="N134" i="7"/>
  <c r="N92" i="7"/>
  <c r="Q102" i="7"/>
  <c r="Q90" i="7"/>
  <c r="Q112" i="7"/>
  <c r="M102" i="7"/>
  <c r="M90" i="7"/>
  <c r="I134" i="7"/>
  <c r="I92" i="7"/>
  <c r="I88" i="7"/>
  <c r="I93" i="7"/>
  <c r="I48" i="7"/>
  <c r="I51" i="7" s="1"/>
  <c r="I112" i="7"/>
  <c r="K136" i="7"/>
  <c r="K107" i="7"/>
  <c r="O122" i="7"/>
  <c r="K29" i="7"/>
  <c r="J94" i="7"/>
  <c r="J27" i="7"/>
  <c r="H139" i="7"/>
  <c r="H97" i="7"/>
  <c r="H98" i="7" s="1"/>
  <c r="H18" i="7"/>
  <c r="H31" i="7" s="1"/>
  <c r="H135" i="7"/>
  <c r="H52" i="7"/>
  <c r="M121" i="7"/>
  <c r="M123" i="7"/>
  <c r="M120" i="7"/>
  <c r="M124" i="7"/>
  <c r="M122" i="7"/>
  <c r="P99" i="7"/>
  <c r="P100" i="7"/>
  <c r="R90" i="7"/>
  <c r="R102" i="7"/>
  <c r="N122" i="7"/>
  <c r="N124" i="7"/>
  <c r="N120" i="7"/>
  <c r="N121" i="7"/>
  <c r="N123" i="7"/>
  <c r="K134" i="7"/>
  <c r="K48" i="7"/>
  <c r="K51" i="7" s="1"/>
  <c r="K93" i="7"/>
  <c r="K92" i="7"/>
  <c r="K88" i="7"/>
  <c r="K87" i="7"/>
  <c r="K95" i="7" s="1"/>
  <c r="K57" i="7"/>
  <c r="K73" i="7" s="1"/>
  <c r="L32" i="7"/>
  <c r="K110" i="7"/>
  <c r="M136" i="7"/>
  <c r="M107" i="7"/>
  <c r="K102" i="7"/>
  <c r="K90" i="7"/>
  <c r="J93" i="7"/>
  <c r="J48" i="7"/>
  <c r="J51" i="7" s="1"/>
  <c r="J134" i="7"/>
  <c r="J88" i="7"/>
  <c r="J92" i="7"/>
  <c r="H107" i="7"/>
  <c r="H136" i="7"/>
  <c r="O136" i="7"/>
  <c r="O107" i="7"/>
  <c r="M100" i="7"/>
  <c r="M99" i="7"/>
  <c r="J99" i="7"/>
  <c r="J100" i="7"/>
  <c r="I142" i="7"/>
  <c r="I108" i="7"/>
  <c r="I114" i="7"/>
  <c r="I18" i="7"/>
  <c r="K100" i="7"/>
  <c r="K99" i="7"/>
  <c r="R99" i="7"/>
  <c r="R100" i="7"/>
  <c r="N102" i="7"/>
  <c r="N90" i="7"/>
  <c r="I125" i="7"/>
  <c r="I121" i="7"/>
  <c r="I123" i="7"/>
  <c r="I124" i="7"/>
  <c r="I120" i="7"/>
  <c r="I122" i="7"/>
  <c r="L107" i="7"/>
  <c r="L136" i="7"/>
  <c r="L112" i="7"/>
  <c r="N99" i="7"/>
  <c r="N100" i="7"/>
  <c r="L139" i="7"/>
  <c r="L97" i="7"/>
  <c r="L98" i="7" s="1"/>
  <c r="O107" i="6"/>
  <c r="O136" i="6"/>
  <c r="O31" i="6"/>
  <c r="I139" i="6"/>
  <c r="I97" i="6"/>
  <c r="I98" i="6" s="1"/>
  <c r="I18" i="6"/>
  <c r="H109" i="6"/>
  <c r="H115" i="6" s="1"/>
  <c r="H119" i="6" s="1"/>
  <c r="H127" i="6" s="1"/>
  <c r="H106" i="6"/>
  <c r="O99" i="6"/>
  <c r="J136" i="6"/>
  <c r="J107" i="6"/>
  <c r="J31" i="6"/>
  <c r="R136" i="6"/>
  <c r="R107" i="6"/>
  <c r="R112" i="6"/>
  <c r="K137" i="6"/>
  <c r="K103" i="6"/>
  <c r="K104" i="6"/>
  <c r="O137" i="6"/>
  <c r="O103" i="6"/>
  <c r="O104" i="6"/>
  <c r="H138" i="6"/>
  <c r="L138" i="6"/>
  <c r="L110" i="6"/>
  <c r="P138" i="6"/>
  <c r="L57" i="6"/>
  <c r="L73" i="6" s="1"/>
  <c r="L87" i="6"/>
  <c r="L95" i="6" s="1"/>
  <c r="M32" i="6"/>
  <c r="K102" i="6"/>
  <c r="K90" i="6"/>
  <c r="I109" i="6"/>
  <c r="I115" i="6" s="1"/>
  <c r="I119" i="6" s="1"/>
  <c r="I127" i="6" s="1"/>
  <c r="I106" i="6"/>
  <c r="K4" i="6"/>
  <c r="H104" i="6"/>
  <c r="H103" i="6"/>
  <c r="H137" i="6"/>
  <c r="H4" i="6"/>
  <c r="L137" i="6"/>
  <c r="L104" i="6"/>
  <c r="L4" i="6"/>
  <c r="L103" i="6"/>
  <c r="P104" i="6"/>
  <c r="P137" i="6"/>
  <c r="P103" i="6"/>
  <c r="P4" i="6"/>
  <c r="I138" i="6"/>
  <c r="M138" i="6"/>
  <c r="Q138" i="6"/>
  <c r="M139" i="6"/>
  <c r="M97" i="6"/>
  <c r="M98" i="6" s="1"/>
  <c r="M18" i="6"/>
  <c r="Q139" i="6"/>
  <c r="Q97" i="6"/>
  <c r="Q98" i="6" s="1"/>
  <c r="Q18" i="6"/>
  <c r="J97" i="6"/>
  <c r="J98" i="6" s="1"/>
  <c r="J139" i="6"/>
  <c r="J18" i="6"/>
  <c r="H142" i="6"/>
  <c r="H108" i="6"/>
  <c r="H114" i="6"/>
  <c r="L142" i="6"/>
  <c r="L108" i="6"/>
  <c r="L114" i="6"/>
  <c r="P142" i="6"/>
  <c r="P108" i="6"/>
  <c r="P114" i="6"/>
  <c r="H125" i="6"/>
  <c r="H121" i="6"/>
  <c r="H122" i="6"/>
  <c r="H120" i="6"/>
  <c r="H124" i="6"/>
  <c r="H123" i="6"/>
  <c r="N136" i="6"/>
  <c r="N114" i="6"/>
  <c r="N112" i="6"/>
  <c r="N107" i="6"/>
  <c r="H139" i="6"/>
  <c r="H97" i="6"/>
  <c r="H98" i="6" s="1"/>
  <c r="R99" i="6"/>
  <c r="K139" i="6"/>
  <c r="K97" i="6"/>
  <c r="K98" i="6" s="1"/>
  <c r="I122" i="6"/>
  <c r="I123" i="6"/>
  <c r="I125" i="6"/>
  <c r="I124" i="6"/>
  <c r="I121" i="6"/>
  <c r="I120" i="6"/>
  <c r="N110" i="6"/>
  <c r="M108" i="6"/>
  <c r="M113" i="6"/>
  <c r="M128" i="6"/>
  <c r="M89" i="6"/>
  <c r="Q113" i="6"/>
  <c r="Q128" i="6"/>
  <c r="Q117" i="6"/>
  <c r="Q112" i="6"/>
  <c r="Q89" i="6"/>
  <c r="N133" i="6"/>
  <c r="N131" i="6"/>
  <c r="N118" i="6"/>
  <c r="H46" i="6"/>
  <c r="P46" i="6"/>
  <c r="I4" i="6"/>
  <c r="M4" i="6"/>
  <c r="M110" i="6" s="1"/>
  <c r="Q4" i="6"/>
  <c r="O138" i="6"/>
  <c r="O110" i="6"/>
  <c r="N18" i="6"/>
  <c r="N31" i="6" s="1"/>
  <c r="R18" i="6"/>
  <c r="R31" i="6" s="1"/>
  <c r="J142" i="6"/>
  <c r="J114" i="6"/>
  <c r="R142" i="6"/>
  <c r="R114" i="6"/>
  <c r="J128" i="6"/>
  <c r="J116" i="6"/>
  <c r="N128" i="6"/>
  <c r="N116" i="6"/>
  <c r="N113" i="6"/>
  <c r="R128" i="6"/>
  <c r="R116" i="6"/>
  <c r="I46" i="6"/>
  <c r="M46" i="6"/>
  <c r="Q46" i="6"/>
  <c r="J87" i="6"/>
  <c r="J95" i="6" s="1"/>
  <c r="P89" i="6"/>
  <c r="J91" i="6"/>
  <c r="P91" i="6"/>
  <c r="P97" i="6"/>
  <c r="P98" i="6" s="1"/>
  <c r="J103" i="6"/>
  <c r="J104" i="6"/>
  <c r="J105" i="6"/>
  <c r="O105" i="6"/>
  <c r="J112" i="6"/>
  <c r="J113" i="6"/>
  <c r="Q116" i="6"/>
  <c r="R117" i="6"/>
  <c r="R118" i="6"/>
  <c r="J131" i="6"/>
  <c r="Q137" i="6"/>
  <c r="R139" i="6"/>
  <c r="I142" i="6"/>
  <c r="K142" i="6"/>
  <c r="K108" i="6"/>
  <c r="O142" i="6"/>
  <c r="O108" i="6"/>
  <c r="K116" i="6"/>
  <c r="K117" i="6"/>
  <c r="K112" i="6"/>
  <c r="K128" i="6"/>
  <c r="K91" i="6"/>
  <c r="O116" i="6"/>
  <c r="O117" i="6"/>
  <c r="O112" i="6"/>
  <c r="O91" i="6"/>
  <c r="H131" i="6"/>
  <c r="H118" i="6"/>
  <c r="H133" i="6"/>
  <c r="L131" i="6"/>
  <c r="L118" i="6"/>
  <c r="P131" i="6"/>
  <c r="P118" i="6"/>
  <c r="P133" i="6"/>
  <c r="J46" i="6"/>
  <c r="N46" i="6"/>
  <c r="R46" i="6"/>
  <c r="K87" i="6"/>
  <c r="K95" i="6" s="1"/>
  <c r="L89" i="6"/>
  <c r="R89" i="6"/>
  <c r="Q91" i="6"/>
  <c r="L97" i="6"/>
  <c r="L98" i="6" s="1"/>
  <c r="Q103" i="6"/>
  <c r="K105" i="6"/>
  <c r="P105" i="6"/>
  <c r="M112" i="6"/>
  <c r="K113" i="6"/>
  <c r="K114" i="6"/>
  <c r="J118" i="6"/>
  <c r="K131" i="6"/>
  <c r="L133" i="6"/>
  <c r="I137" i="6"/>
  <c r="M142" i="6"/>
  <c r="H117" i="6"/>
  <c r="H112" i="6"/>
  <c r="H113" i="6"/>
  <c r="L117" i="6"/>
  <c r="L112" i="6"/>
  <c r="L113" i="6"/>
  <c r="L116" i="6"/>
  <c r="P117" i="6"/>
  <c r="P112" i="6"/>
  <c r="P113" i="6"/>
  <c r="I131" i="6"/>
  <c r="I118" i="6"/>
  <c r="I105" i="6"/>
  <c r="M131" i="6"/>
  <c r="M118" i="6"/>
  <c r="M105" i="6"/>
  <c r="Q131" i="6"/>
  <c r="Q118" i="6"/>
  <c r="Q105" i="6"/>
  <c r="K46" i="6"/>
  <c r="O46" i="6"/>
  <c r="K57" i="6"/>
  <c r="K73" i="6" s="1"/>
  <c r="H89" i="6"/>
  <c r="N89" i="6"/>
  <c r="H91" i="6"/>
  <c r="M91" i="6"/>
  <c r="R91" i="6"/>
  <c r="N97" i="6"/>
  <c r="N98" i="6" s="1"/>
  <c r="M103" i="6"/>
  <c r="M104" i="6"/>
  <c r="L105" i="6"/>
  <c r="R105" i="6"/>
  <c r="I108" i="6"/>
  <c r="O113" i="6"/>
  <c r="M116" i="6"/>
  <c r="M117" i="6"/>
  <c r="K118" i="6"/>
  <c r="H128" i="6"/>
  <c r="O131" i="6"/>
  <c r="O132" i="6"/>
  <c r="M133" i="6"/>
  <c r="J110" i="6"/>
  <c r="R110" i="6"/>
  <c r="Q114" i="6"/>
  <c r="I113" i="6"/>
  <c r="I128" i="6"/>
  <c r="I117" i="6"/>
  <c r="I112" i="6"/>
  <c r="I89" i="6"/>
  <c r="L46" i="6"/>
  <c r="L85" i="6"/>
  <c r="J89" i="6"/>
  <c r="O89" i="6"/>
  <c r="O100" i="6" s="1"/>
  <c r="I91" i="6"/>
  <c r="N91" i="6"/>
  <c r="I103" i="6"/>
  <c r="H105" i="6"/>
  <c r="N105" i="6"/>
  <c r="O114" i="6"/>
  <c r="P116" i="6"/>
  <c r="L128" i="6"/>
  <c r="R131" i="6"/>
  <c r="Q133" i="6"/>
  <c r="N138" i="6"/>
  <c r="Q142" i="6"/>
  <c r="R141" i="4"/>
  <c r="Q141" i="4"/>
  <c r="P141" i="4"/>
  <c r="O141" i="4"/>
  <c r="N141" i="4"/>
  <c r="M141" i="4"/>
  <c r="L141" i="4"/>
  <c r="K141" i="4"/>
  <c r="J141" i="4"/>
  <c r="I141" i="4"/>
  <c r="H141" i="4"/>
  <c r="R140" i="4"/>
  <c r="Q140" i="4"/>
  <c r="P140" i="4"/>
  <c r="O140" i="4"/>
  <c r="N140" i="4"/>
  <c r="M140" i="4"/>
  <c r="L140" i="4"/>
  <c r="K140" i="4"/>
  <c r="J140" i="4"/>
  <c r="I140" i="4"/>
  <c r="H140" i="4"/>
  <c r="M138" i="4"/>
  <c r="P137" i="4"/>
  <c r="H137" i="4"/>
  <c r="O132" i="4"/>
  <c r="R130" i="4"/>
  <c r="Q130" i="4"/>
  <c r="P130" i="4"/>
  <c r="O130" i="4"/>
  <c r="N130" i="4"/>
  <c r="M130" i="4"/>
  <c r="L130" i="4"/>
  <c r="K130" i="4"/>
  <c r="J130" i="4"/>
  <c r="I130" i="4"/>
  <c r="H130" i="4"/>
  <c r="R129" i="4"/>
  <c r="Q129" i="4"/>
  <c r="P129" i="4"/>
  <c r="O129" i="4"/>
  <c r="N129" i="4"/>
  <c r="M129" i="4"/>
  <c r="L129" i="4"/>
  <c r="K129" i="4"/>
  <c r="J129" i="4"/>
  <c r="I129" i="4"/>
  <c r="H129" i="4"/>
  <c r="Q117" i="4"/>
  <c r="M117" i="4"/>
  <c r="I117" i="4"/>
  <c r="E114" i="4"/>
  <c r="Q113" i="4"/>
  <c r="M113" i="4"/>
  <c r="I113" i="4"/>
  <c r="R111" i="4"/>
  <c r="Q111" i="4"/>
  <c r="P111" i="4"/>
  <c r="O111" i="4"/>
  <c r="N111" i="4"/>
  <c r="M111" i="4"/>
  <c r="L111" i="4"/>
  <c r="I111" i="4"/>
  <c r="H111" i="4"/>
  <c r="Q108" i="4"/>
  <c r="M108" i="4"/>
  <c r="I108" i="4"/>
  <c r="P104" i="4"/>
  <c r="L104" i="4"/>
  <c r="H104" i="4"/>
  <c r="R101" i="4"/>
  <c r="Q101" i="4"/>
  <c r="P101" i="4"/>
  <c r="O101" i="4"/>
  <c r="N101" i="4"/>
  <c r="M101" i="4"/>
  <c r="L101" i="4"/>
  <c r="K101" i="4"/>
  <c r="J101" i="4"/>
  <c r="I101" i="4"/>
  <c r="H101" i="4"/>
  <c r="P98" i="4"/>
  <c r="L98" i="4"/>
  <c r="H98" i="4"/>
  <c r="H99" i="4" s="1"/>
  <c r="P97" i="4"/>
  <c r="L97" i="4"/>
  <c r="H97" i="4"/>
  <c r="R96" i="4"/>
  <c r="Q96" i="4"/>
  <c r="P96" i="4"/>
  <c r="O96" i="4"/>
  <c r="N96" i="4"/>
  <c r="M96" i="4"/>
  <c r="L96" i="4"/>
  <c r="K96" i="4"/>
  <c r="J96" i="4"/>
  <c r="I96" i="4"/>
  <c r="H96" i="4"/>
  <c r="R94" i="4"/>
  <c r="Q94" i="4"/>
  <c r="P94" i="4"/>
  <c r="O94" i="4"/>
  <c r="N94" i="4"/>
  <c r="M94" i="4"/>
  <c r="L94" i="4"/>
  <c r="K94" i="4"/>
  <c r="J94" i="4"/>
  <c r="I94" i="4"/>
  <c r="H94" i="4"/>
  <c r="H87" i="4"/>
  <c r="H95" i="4" s="1"/>
  <c r="R85" i="4"/>
  <c r="Q85" i="4"/>
  <c r="P85" i="4"/>
  <c r="O85" i="4"/>
  <c r="N85" i="4"/>
  <c r="M85" i="4"/>
  <c r="L85" i="4"/>
  <c r="K85" i="4"/>
  <c r="J85" i="4"/>
  <c r="I85" i="4"/>
  <c r="H85" i="4"/>
  <c r="H73" i="4"/>
  <c r="R71" i="4"/>
  <c r="Q71" i="4"/>
  <c r="P71" i="4"/>
  <c r="O71" i="4"/>
  <c r="N71" i="4"/>
  <c r="M71" i="4"/>
  <c r="L71" i="4"/>
  <c r="K71" i="4"/>
  <c r="J71" i="4"/>
  <c r="I71" i="4"/>
  <c r="H71" i="4"/>
  <c r="H57" i="4"/>
  <c r="R41" i="4"/>
  <c r="R132" i="4" s="1"/>
  <c r="Q41" i="4"/>
  <c r="P41" i="4"/>
  <c r="P132" i="4" s="1"/>
  <c r="O41" i="4"/>
  <c r="N41" i="4"/>
  <c r="N118" i="4" s="1"/>
  <c r="M41" i="4"/>
  <c r="L41" i="4"/>
  <c r="L132" i="4" s="1"/>
  <c r="K41" i="4"/>
  <c r="K132" i="4" s="1"/>
  <c r="J41" i="4"/>
  <c r="J132" i="4" s="1"/>
  <c r="I41" i="4"/>
  <c r="H41" i="4"/>
  <c r="H132" i="4" s="1"/>
  <c r="R38" i="4"/>
  <c r="R133" i="4" s="1"/>
  <c r="Q38" i="4"/>
  <c r="Q133" i="4" s="1"/>
  <c r="P38" i="4"/>
  <c r="O38" i="4"/>
  <c r="N38" i="4"/>
  <c r="N133" i="4" s="1"/>
  <c r="M38" i="4"/>
  <c r="M133" i="4" s="1"/>
  <c r="L38" i="4"/>
  <c r="K38" i="4"/>
  <c r="J38" i="4"/>
  <c r="J133" i="4" s="1"/>
  <c r="I38" i="4"/>
  <c r="I133" i="4" s="1"/>
  <c r="H38" i="4"/>
  <c r="R33" i="4"/>
  <c r="Q33" i="4"/>
  <c r="P33" i="4"/>
  <c r="O33" i="4"/>
  <c r="N33" i="4"/>
  <c r="N46" i="4" s="1"/>
  <c r="M33" i="4"/>
  <c r="L33" i="4"/>
  <c r="K33" i="4"/>
  <c r="J33" i="4"/>
  <c r="I33" i="4"/>
  <c r="H33" i="4"/>
  <c r="I32" i="4"/>
  <c r="I57" i="4" s="1"/>
  <c r="I73" i="4" s="1"/>
  <c r="R27" i="4"/>
  <c r="Q27" i="4"/>
  <c r="Q142" i="4" s="1"/>
  <c r="P27" i="4"/>
  <c r="O27" i="4"/>
  <c r="N27" i="4"/>
  <c r="M27" i="4"/>
  <c r="M142" i="4" s="1"/>
  <c r="L27" i="4"/>
  <c r="L142" i="4" s="1"/>
  <c r="K27" i="4"/>
  <c r="J27" i="4"/>
  <c r="I27" i="4"/>
  <c r="I142" i="4" s="1"/>
  <c r="H27" i="4"/>
  <c r="H108" i="4" s="1"/>
  <c r="R19" i="4"/>
  <c r="Q19" i="4"/>
  <c r="P19" i="4"/>
  <c r="P139" i="4" s="1"/>
  <c r="O19" i="4"/>
  <c r="O139" i="4" s="1"/>
  <c r="N19" i="4"/>
  <c r="M19" i="4"/>
  <c r="L19" i="4"/>
  <c r="L139" i="4" s="1"/>
  <c r="K19" i="4"/>
  <c r="K139" i="4" s="1"/>
  <c r="J19" i="4"/>
  <c r="I19" i="4"/>
  <c r="H19" i="4"/>
  <c r="H139" i="4" s="1"/>
  <c r="Q18" i="4"/>
  <c r="P18" i="4"/>
  <c r="M18" i="4"/>
  <c r="L18" i="4"/>
  <c r="I18" i="4"/>
  <c r="H18" i="4"/>
  <c r="L15" i="4"/>
  <c r="K15" i="4"/>
  <c r="K111" i="4" s="1"/>
  <c r="J15" i="4"/>
  <c r="J111" i="4" s="1"/>
  <c r="R10" i="4"/>
  <c r="Q10" i="4"/>
  <c r="P10" i="4"/>
  <c r="O10" i="4"/>
  <c r="N10" i="4"/>
  <c r="M10" i="4"/>
  <c r="L10" i="4"/>
  <c r="K10" i="4"/>
  <c r="I10" i="4"/>
  <c r="H10" i="4"/>
  <c r="R5" i="4"/>
  <c r="R4" i="4" s="1"/>
  <c r="Q5" i="4"/>
  <c r="P5" i="4"/>
  <c r="P103" i="4" s="1"/>
  <c r="O5" i="4"/>
  <c r="N5" i="4"/>
  <c r="N4" i="4" s="1"/>
  <c r="M5" i="4"/>
  <c r="L5" i="4"/>
  <c r="L137" i="4" s="1"/>
  <c r="K5" i="4"/>
  <c r="J5" i="4"/>
  <c r="I5" i="4"/>
  <c r="H5" i="4"/>
  <c r="H103" i="4" s="1"/>
  <c r="Q4" i="4"/>
  <c r="M4" i="4"/>
  <c r="L4" i="4"/>
  <c r="I4" i="4"/>
  <c r="H4" i="4"/>
  <c r="R109" i="14" l="1"/>
  <c r="R115" i="14" s="1"/>
  <c r="R119" i="14" s="1"/>
  <c r="R127" i="14" s="1"/>
  <c r="R106" i="14"/>
  <c r="P109" i="13"/>
  <c r="P115" i="13" s="1"/>
  <c r="P119" i="13" s="1"/>
  <c r="P127" i="13" s="1"/>
  <c r="P106" i="13"/>
  <c r="Q87" i="13"/>
  <c r="Q95" i="13" s="1"/>
  <c r="R32" i="13"/>
  <c r="Q57" i="13"/>
  <c r="Q73" i="13" s="1"/>
  <c r="P87" i="12"/>
  <c r="P95" i="12" s="1"/>
  <c r="P57" i="12"/>
  <c r="P73" i="12" s="1"/>
  <c r="Q32" i="12"/>
  <c r="O106" i="12"/>
  <c r="O109" i="12"/>
  <c r="O115" i="12" s="1"/>
  <c r="O119" i="12" s="1"/>
  <c r="O127" i="12" s="1"/>
  <c r="O57" i="11"/>
  <c r="O73" i="11" s="1"/>
  <c r="P32" i="11"/>
  <c r="O87" i="11"/>
  <c r="O95" i="11" s="1"/>
  <c r="N142" i="11"/>
  <c r="N108" i="11"/>
  <c r="N114" i="11"/>
  <c r="N18" i="11"/>
  <c r="N31" i="11" s="1"/>
  <c r="N109" i="11"/>
  <c r="N115" i="11" s="1"/>
  <c r="N119" i="11" s="1"/>
  <c r="N127" i="11" s="1"/>
  <c r="N106" i="11"/>
  <c r="O94" i="11"/>
  <c r="P29" i="11"/>
  <c r="O27" i="11"/>
  <c r="N87" i="10"/>
  <c r="N95" i="10" s="1"/>
  <c r="N57" i="10"/>
  <c r="N73" i="10" s="1"/>
  <c r="O32" i="10"/>
  <c r="M109" i="10"/>
  <c r="M115" i="10" s="1"/>
  <c r="M119" i="10" s="1"/>
  <c r="M127" i="10" s="1"/>
  <c r="M106" i="10"/>
  <c r="L109" i="9"/>
  <c r="L115" i="9" s="1"/>
  <c r="L119" i="9" s="1"/>
  <c r="L127" i="9" s="1"/>
  <c r="L106" i="9"/>
  <c r="M57" i="9"/>
  <c r="M73" i="9" s="1"/>
  <c r="N32" i="9"/>
  <c r="M87" i="9"/>
  <c r="M95" i="9" s="1"/>
  <c r="O142" i="9"/>
  <c r="O108" i="9"/>
  <c r="O114" i="9"/>
  <c r="O18" i="9"/>
  <c r="O31" i="9" s="1"/>
  <c r="P94" i="9"/>
  <c r="Q29" i="9"/>
  <c r="P27" i="9"/>
  <c r="R142" i="9"/>
  <c r="R114" i="9"/>
  <c r="R108" i="9"/>
  <c r="R18" i="9"/>
  <c r="R31" i="9" s="1"/>
  <c r="Q136" i="8"/>
  <c r="Q107" i="8"/>
  <c r="Q31" i="8"/>
  <c r="Q120" i="8"/>
  <c r="Q112" i="8"/>
  <c r="Q114" i="8"/>
  <c r="Q124" i="8"/>
  <c r="M87" i="8"/>
  <c r="M95" i="8" s="1"/>
  <c r="M57" i="8"/>
  <c r="M73" i="8" s="1"/>
  <c r="N32" i="8"/>
  <c r="R138" i="8"/>
  <c r="R4" i="8"/>
  <c r="L109" i="8"/>
  <c r="L115" i="8" s="1"/>
  <c r="L119" i="8" s="1"/>
  <c r="L127" i="8" s="1"/>
  <c r="L106" i="8"/>
  <c r="J135" i="7"/>
  <c r="J52" i="7"/>
  <c r="J142" i="7"/>
  <c r="J114" i="7"/>
  <c r="J108" i="7"/>
  <c r="J18" i="7"/>
  <c r="J31" i="7" s="1"/>
  <c r="I135" i="7"/>
  <c r="I52" i="7"/>
  <c r="N135" i="7"/>
  <c r="N52" i="7"/>
  <c r="M135" i="7"/>
  <c r="M52" i="7"/>
  <c r="K135" i="7"/>
  <c r="K52" i="7"/>
  <c r="K125" i="7"/>
  <c r="K124" i="7"/>
  <c r="K123" i="7"/>
  <c r="Q135" i="7"/>
  <c r="Q52" i="7"/>
  <c r="K109" i="7"/>
  <c r="K115" i="7" s="1"/>
  <c r="K119" i="7" s="1"/>
  <c r="K127" i="7" s="1"/>
  <c r="K106" i="7"/>
  <c r="L99" i="7"/>
  <c r="L100" i="7"/>
  <c r="H99" i="7"/>
  <c r="H100" i="7"/>
  <c r="K94" i="7"/>
  <c r="L29" i="7"/>
  <c r="K27" i="7"/>
  <c r="R135" i="7"/>
  <c r="R52" i="7"/>
  <c r="J123" i="7"/>
  <c r="J124" i="7"/>
  <c r="M32" i="7"/>
  <c r="L87" i="7"/>
  <c r="L95" i="7" s="1"/>
  <c r="L57" i="7"/>
  <c r="L73" i="7" s="1"/>
  <c r="O135" i="7"/>
  <c r="O52" i="7"/>
  <c r="O124" i="7"/>
  <c r="O123" i="7"/>
  <c r="Q124" i="7"/>
  <c r="J125" i="7"/>
  <c r="P125" i="6"/>
  <c r="P121" i="6"/>
  <c r="P122" i="6"/>
  <c r="P120" i="6"/>
  <c r="P124" i="6"/>
  <c r="P123" i="6"/>
  <c r="J102" i="6"/>
  <c r="J90" i="6"/>
  <c r="N100" i="6"/>
  <c r="N99" i="6"/>
  <c r="N102" i="6"/>
  <c r="N90" i="6"/>
  <c r="K134" i="6"/>
  <c r="K93" i="6"/>
  <c r="K92" i="6"/>
  <c r="K48" i="6"/>
  <c r="K51" i="6" s="1"/>
  <c r="K88" i="6"/>
  <c r="R93" i="6"/>
  <c r="R92" i="6"/>
  <c r="R88" i="6"/>
  <c r="R134" i="6"/>
  <c r="R48" i="6"/>
  <c r="R51" i="6" s="1"/>
  <c r="P102" i="6"/>
  <c r="P90" i="6"/>
  <c r="I93" i="6"/>
  <c r="I92" i="6"/>
  <c r="I48" i="6"/>
  <c r="I51" i="6" s="1"/>
  <c r="I88" i="6"/>
  <c r="I134" i="6"/>
  <c r="N123" i="6"/>
  <c r="N124" i="6"/>
  <c r="N120" i="6"/>
  <c r="N122" i="6"/>
  <c r="N121" i="6"/>
  <c r="N125" i="6"/>
  <c r="Q136" i="6"/>
  <c r="Q31" i="6"/>
  <c r="Q107" i="6"/>
  <c r="H134" i="6"/>
  <c r="H92" i="6"/>
  <c r="H93" i="6"/>
  <c r="H48" i="6"/>
  <c r="H51" i="6" s="1"/>
  <c r="H88" i="6"/>
  <c r="Q102" i="6"/>
  <c r="Q90" i="6"/>
  <c r="Q100" i="6"/>
  <c r="Q99" i="6"/>
  <c r="L136" i="6"/>
  <c r="L107" i="6"/>
  <c r="L31" i="6"/>
  <c r="N32" i="6"/>
  <c r="M57" i="6"/>
  <c r="M73" i="6" s="1"/>
  <c r="M87" i="6"/>
  <c r="M95" i="6" s="1"/>
  <c r="M122" i="6"/>
  <c r="M123" i="6"/>
  <c r="M121" i="6"/>
  <c r="M125" i="6"/>
  <c r="M124" i="6"/>
  <c r="M120" i="6"/>
  <c r="H102" i="6"/>
  <c r="H90" i="6"/>
  <c r="L125" i="6"/>
  <c r="L121" i="6"/>
  <c r="L122" i="6"/>
  <c r="L124" i="6"/>
  <c r="L123" i="6"/>
  <c r="L120" i="6"/>
  <c r="R102" i="6"/>
  <c r="R90" i="6"/>
  <c r="N93" i="6"/>
  <c r="N92" i="6"/>
  <c r="N134" i="6"/>
  <c r="N88" i="6"/>
  <c r="N48" i="6"/>
  <c r="N51" i="6" s="1"/>
  <c r="P100" i="6"/>
  <c r="P99" i="6"/>
  <c r="J109" i="6"/>
  <c r="J115" i="6" s="1"/>
  <c r="J119" i="6" s="1"/>
  <c r="J127" i="6" s="1"/>
  <c r="J106" i="6"/>
  <c r="R123" i="6"/>
  <c r="R124" i="6"/>
  <c r="R120" i="6"/>
  <c r="R122" i="6"/>
  <c r="R125" i="6"/>
  <c r="R121" i="6"/>
  <c r="M136" i="6"/>
  <c r="M107" i="6"/>
  <c r="M31" i="6"/>
  <c r="M102" i="6"/>
  <c r="M90" i="6"/>
  <c r="M114" i="6"/>
  <c r="R100" i="6"/>
  <c r="L109" i="6"/>
  <c r="L115" i="6" s="1"/>
  <c r="L119" i="6" s="1"/>
  <c r="L127" i="6" s="1"/>
  <c r="L106" i="6"/>
  <c r="L134" i="6"/>
  <c r="L92" i="6"/>
  <c r="L88" i="6"/>
  <c r="L93" i="6"/>
  <c r="L48" i="6"/>
  <c r="L51" i="6" s="1"/>
  <c r="L102" i="6"/>
  <c r="L90" i="6"/>
  <c r="J88" i="6"/>
  <c r="J134" i="6"/>
  <c r="J93" i="6"/>
  <c r="J92" i="6"/>
  <c r="J48" i="6"/>
  <c r="J51" i="6" s="1"/>
  <c r="O124" i="6"/>
  <c r="O120" i="6"/>
  <c r="O125" i="6"/>
  <c r="O121" i="6"/>
  <c r="O123" i="6"/>
  <c r="O122" i="6"/>
  <c r="Q122" i="6"/>
  <c r="Q123" i="6"/>
  <c r="Q125" i="6"/>
  <c r="Q124" i="6"/>
  <c r="Q121" i="6"/>
  <c r="Q120" i="6"/>
  <c r="Q93" i="6"/>
  <c r="Q134" i="6"/>
  <c r="Q48" i="6"/>
  <c r="Q51" i="6" s="1"/>
  <c r="Q92" i="6"/>
  <c r="Q88" i="6"/>
  <c r="J123" i="6"/>
  <c r="J124" i="6"/>
  <c r="J120" i="6"/>
  <c r="J122" i="6"/>
  <c r="J125" i="6"/>
  <c r="J121" i="6"/>
  <c r="I136" i="6"/>
  <c r="I107" i="6"/>
  <c r="I31" i="6"/>
  <c r="I114" i="6"/>
  <c r="K99" i="6"/>
  <c r="K100" i="6"/>
  <c r="H100" i="6"/>
  <c r="H99" i="6"/>
  <c r="J100" i="6"/>
  <c r="J99" i="6"/>
  <c r="Q110" i="6"/>
  <c r="I110" i="6"/>
  <c r="O102" i="6"/>
  <c r="O90" i="6"/>
  <c r="I102" i="6"/>
  <c r="I90" i="6"/>
  <c r="O134" i="6"/>
  <c r="O88" i="6"/>
  <c r="O48" i="6"/>
  <c r="O51" i="6" s="1"/>
  <c r="O93" i="6"/>
  <c r="O92" i="6"/>
  <c r="L100" i="6"/>
  <c r="L99" i="6"/>
  <c r="K109" i="6"/>
  <c r="K115" i="6" s="1"/>
  <c r="K119" i="6" s="1"/>
  <c r="K127" i="6" s="1"/>
  <c r="K106" i="6"/>
  <c r="K124" i="6"/>
  <c r="K120" i="6"/>
  <c r="K125" i="6"/>
  <c r="K121" i="6"/>
  <c r="K123" i="6"/>
  <c r="K122" i="6"/>
  <c r="M134" i="6"/>
  <c r="M93" i="6"/>
  <c r="M92" i="6"/>
  <c r="M88" i="6"/>
  <c r="M48" i="6"/>
  <c r="M51" i="6" s="1"/>
  <c r="P134" i="6"/>
  <c r="P92" i="6"/>
  <c r="P88" i="6"/>
  <c r="P48" i="6"/>
  <c r="P51" i="6" s="1"/>
  <c r="P93" i="6"/>
  <c r="M100" i="6"/>
  <c r="M99" i="6"/>
  <c r="P107" i="6"/>
  <c r="P136" i="6"/>
  <c r="P31" i="6"/>
  <c r="H107" i="6"/>
  <c r="H31" i="6"/>
  <c r="H136" i="6"/>
  <c r="K107" i="6"/>
  <c r="K110" i="6"/>
  <c r="K136" i="6"/>
  <c r="K31" i="6"/>
  <c r="P110" i="6"/>
  <c r="H110" i="6"/>
  <c r="I100" i="6"/>
  <c r="I99" i="6"/>
  <c r="J4" i="4"/>
  <c r="N107" i="4"/>
  <c r="N136" i="4"/>
  <c r="R107" i="4"/>
  <c r="R136" i="4"/>
  <c r="N134" i="4"/>
  <c r="N92" i="4"/>
  <c r="N93" i="4"/>
  <c r="N48" i="4"/>
  <c r="N51" i="4" s="1"/>
  <c r="N88" i="4"/>
  <c r="L136" i="4"/>
  <c r="L107" i="4"/>
  <c r="Q107" i="4"/>
  <c r="Q136" i="4"/>
  <c r="Q31" i="4"/>
  <c r="Q114" i="4"/>
  <c r="Q112" i="4"/>
  <c r="K138" i="4"/>
  <c r="K110" i="4"/>
  <c r="J117" i="4"/>
  <c r="J112" i="4"/>
  <c r="J116" i="4"/>
  <c r="J128" i="4"/>
  <c r="J91" i="4"/>
  <c r="J113" i="4"/>
  <c r="J89" i="4"/>
  <c r="R117" i="4"/>
  <c r="R112" i="4"/>
  <c r="R116" i="4"/>
  <c r="R128" i="4"/>
  <c r="R91" i="4"/>
  <c r="R113" i="4"/>
  <c r="R89" i="4"/>
  <c r="O131" i="4"/>
  <c r="O118" i="4"/>
  <c r="O133" i="4"/>
  <c r="O105" i="4"/>
  <c r="J46" i="4"/>
  <c r="H109" i="4"/>
  <c r="H115" i="4" s="1"/>
  <c r="H119" i="4" s="1"/>
  <c r="H127" i="4" s="1"/>
  <c r="H106" i="4"/>
  <c r="O89" i="4"/>
  <c r="H136" i="4"/>
  <c r="H107" i="4"/>
  <c r="M107" i="4"/>
  <c r="M136" i="4"/>
  <c r="M31" i="4"/>
  <c r="K137" i="4"/>
  <c r="K104" i="4"/>
  <c r="K4" i="4"/>
  <c r="K103" i="4"/>
  <c r="O104" i="4"/>
  <c r="O137" i="4"/>
  <c r="O4" i="4"/>
  <c r="O103" i="4"/>
  <c r="H110" i="4"/>
  <c r="H138" i="4"/>
  <c r="L110" i="4"/>
  <c r="L138" i="4"/>
  <c r="P138" i="4"/>
  <c r="L31" i="4"/>
  <c r="J32" i="4"/>
  <c r="K113" i="4"/>
  <c r="K117" i="4"/>
  <c r="K112" i="4"/>
  <c r="K128" i="4"/>
  <c r="K46" i="4"/>
  <c r="K116" i="4"/>
  <c r="K91" i="4"/>
  <c r="O113" i="4"/>
  <c r="O117" i="4"/>
  <c r="O112" i="4"/>
  <c r="O91" i="4"/>
  <c r="O128" i="4"/>
  <c r="O116" i="4"/>
  <c r="O46" i="4"/>
  <c r="H131" i="4"/>
  <c r="H118" i="4"/>
  <c r="H105" i="4"/>
  <c r="H133" i="4"/>
  <c r="L131" i="4"/>
  <c r="L118" i="4"/>
  <c r="L133" i="4"/>
  <c r="L105" i="4"/>
  <c r="P131" i="4"/>
  <c r="P118" i="4"/>
  <c r="P105" i="4"/>
  <c r="P133" i="4"/>
  <c r="I132" i="4"/>
  <c r="I91" i="4"/>
  <c r="M132" i="4"/>
  <c r="M91" i="4"/>
  <c r="Q132" i="4"/>
  <c r="Q91" i="4"/>
  <c r="M46" i="4"/>
  <c r="I87" i="4"/>
  <c r="I95" i="4" s="1"/>
  <c r="I107" i="4"/>
  <c r="I136" i="4"/>
  <c r="I31" i="4"/>
  <c r="I114" i="4"/>
  <c r="I112" i="4"/>
  <c r="I97" i="4"/>
  <c r="I98" i="4" s="1"/>
  <c r="I139" i="4"/>
  <c r="M139" i="4"/>
  <c r="M97" i="4"/>
  <c r="M98" i="4" s="1"/>
  <c r="Q97" i="4"/>
  <c r="Q98" i="4" s="1"/>
  <c r="Q139" i="4"/>
  <c r="J142" i="4"/>
  <c r="J108" i="4"/>
  <c r="J114" i="4"/>
  <c r="N142" i="4"/>
  <c r="N108" i="4"/>
  <c r="N114" i="4"/>
  <c r="R142" i="4"/>
  <c r="R108" i="4"/>
  <c r="R114" i="4"/>
  <c r="L89" i="4"/>
  <c r="L100" i="4" s="1"/>
  <c r="P4" i="4"/>
  <c r="I137" i="4"/>
  <c r="I103" i="4"/>
  <c r="I104" i="4"/>
  <c r="M137" i="4"/>
  <c r="M103" i="4"/>
  <c r="M104" i="4"/>
  <c r="Q137" i="4"/>
  <c r="Q103" i="4"/>
  <c r="Q104" i="4"/>
  <c r="J10" i="4"/>
  <c r="N138" i="4"/>
  <c r="N110" i="4"/>
  <c r="R138" i="4"/>
  <c r="R110" i="4"/>
  <c r="J18" i="4"/>
  <c r="J139" i="4"/>
  <c r="J97" i="4"/>
  <c r="J98" i="4" s="1"/>
  <c r="N139" i="4"/>
  <c r="N97" i="4"/>
  <c r="N98" i="4" s="1"/>
  <c r="N18" i="4"/>
  <c r="N31" i="4" s="1"/>
  <c r="R139" i="4"/>
  <c r="R97" i="4"/>
  <c r="R98" i="4" s="1"/>
  <c r="R18" i="4"/>
  <c r="R31" i="4" s="1"/>
  <c r="K114" i="4"/>
  <c r="K142" i="4"/>
  <c r="K108" i="4"/>
  <c r="O114" i="4"/>
  <c r="O142" i="4"/>
  <c r="O108" i="4"/>
  <c r="H31" i="4"/>
  <c r="I46" i="4"/>
  <c r="Q46" i="4"/>
  <c r="K89" i="4"/>
  <c r="J137" i="4"/>
  <c r="J103" i="4"/>
  <c r="J104" i="4"/>
  <c r="R137" i="4"/>
  <c r="R103" i="4"/>
  <c r="R104" i="4"/>
  <c r="N117" i="4"/>
  <c r="N112" i="4"/>
  <c r="N116" i="4"/>
  <c r="N113" i="4"/>
  <c r="N91" i="4"/>
  <c r="N128" i="4"/>
  <c r="N89" i="4"/>
  <c r="R46" i="4"/>
  <c r="O138" i="4"/>
  <c r="O110" i="4"/>
  <c r="N137" i="4"/>
  <c r="N103" i="4"/>
  <c r="N104" i="4"/>
  <c r="K131" i="4"/>
  <c r="K118" i="4"/>
  <c r="K133" i="4"/>
  <c r="K105" i="4"/>
  <c r="P114" i="4"/>
  <c r="H128" i="4"/>
  <c r="H113" i="4"/>
  <c r="P128" i="4"/>
  <c r="P113" i="4"/>
  <c r="I89" i="4"/>
  <c r="Q89" i="4"/>
  <c r="I105" i="4"/>
  <c r="M105" i="4"/>
  <c r="Q105" i="4"/>
  <c r="L112" i="4"/>
  <c r="I110" i="4"/>
  <c r="M110" i="4"/>
  <c r="Q110" i="4"/>
  <c r="K18" i="4"/>
  <c r="O18" i="4"/>
  <c r="I116" i="4"/>
  <c r="I128" i="4"/>
  <c r="M116" i="4"/>
  <c r="M128" i="4"/>
  <c r="Q116" i="4"/>
  <c r="Q128" i="4"/>
  <c r="H46" i="4"/>
  <c r="L46" i="4"/>
  <c r="P46" i="4"/>
  <c r="H91" i="4"/>
  <c r="L91" i="4"/>
  <c r="P91" i="4"/>
  <c r="L99" i="4"/>
  <c r="P99" i="4"/>
  <c r="L103" i="4"/>
  <c r="J105" i="4"/>
  <c r="N105" i="4"/>
  <c r="R105" i="4"/>
  <c r="L108" i="4"/>
  <c r="M112" i="4"/>
  <c r="M114" i="4"/>
  <c r="L117" i="4"/>
  <c r="I118" i="4"/>
  <c r="Q118" i="4"/>
  <c r="N131" i="4"/>
  <c r="I138" i="4"/>
  <c r="Q138" i="4"/>
  <c r="K97" i="4"/>
  <c r="K98" i="4" s="1"/>
  <c r="O97" i="4"/>
  <c r="O98" i="4" s="1"/>
  <c r="H112" i="4"/>
  <c r="P112" i="4"/>
  <c r="H116" i="4"/>
  <c r="P116" i="4"/>
  <c r="J118" i="4"/>
  <c r="R118" i="4"/>
  <c r="I131" i="4"/>
  <c r="Q131" i="4"/>
  <c r="N132" i="4"/>
  <c r="H142" i="4"/>
  <c r="H89" i="4"/>
  <c r="P89" i="4"/>
  <c r="P108" i="4"/>
  <c r="H117" i="4"/>
  <c r="P117" i="4"/>
  <c r="M118" i="4"/>
  <c r="J131" i="4"/>
  <c r="R131" i="4"/>
  <c r="H114" i="4"/>
  <c r="L114" i="4"/>
  <c r="L128" i="4"/>
  <c r="L113" i="4"/>
  <c r="M89" i="4"/>
  <c r="L116" i="4"/>
  <c r="M131" i="4"/>
  <c r="P142" i="4"/>
  <c r="O33" i="1"/>
  <c r="M5" i="1"/>
  <c r="M10" i="1"/>
  <c r="M4" i="1"/>
  <c r="M19" i="1"/>
  <c r="R141" i="1"/>
  <c r="Q141" i="1"/>
  <c r="P141" i="1"/>
  <c r="O141" i="1"/>
  <c r="N141" i="1"/>
  <c r="M141" i="1"/>
  <c r="L141" i="1"/>
  <c r="K141" i="1"/>
  <c r="J141" i="1"/>
  <c r="I141" i="1"/>
  <c r="H141" i="1"/>
  <c r="R140" i="1"/>
  <c r="Q140" i="1"/>
  <c r="P140" i="1"/>
  <c r="O140" i="1"/>
  <c r="N140" i="1"/>
  <c r="M140" i="1"/>
  <c r="L140" i="1"/>
  <c r="K140" i="1"/>
  <c r="J140" i="1"/>
  <c r="I140" i="1"/>
  <c r="H140" i="1"/>
  <c r="P38" i="1"/>
  <c r="P133" i="1"/>
  <c r="R130" i="1"/>
  <c r="Q130" i="1"/>
  <c r="P130" i="1"/>
  <c r="O130" i="1"/>
  <c r="N130" i="1"/>
  <c r="M130" i="1"/>
  <c r="L130" i="1"/>
  <c r="K130" i="1"/>
  <c r="J130" i="1"/>
  <c r="I130" i="1"/>
  <c r="H130" i="1"/>
  <c r="R129" i="1"/>
  <c r="Q129" i="1"/>
  <c r="P129" i="1"/>
  <c r="O129" i="1"/>
  <c r="N129" i="1"/>
  <c r="M129" i="1"/>
  <c r="L129" i="1"/>
  <c r="K129" i="1"/>
  <c r="J129" i="1"/>
  <c r="I129" i="1"/>
  <c r="H129" i="1"/>
  <c r="O116" i="1"/>
  <c r="E114" i="1"/>
  <c r="O113" i="1"/>
  <c r="R111" i="1"/>
  <c r="Q111" i="1"/>
  <c r="P111" i="1"/>
  <c r="O111" i="1"/>
  <c r="N111" i="1"/>
  <c r="M111" i="1"/>
  <c r="L111" i="1"/>
  <c r="K111" i="1"/>
  <c r="J111" i="1"/>
  <c r="I111" i="1"/>
  <c r="H111" i="1"/>
  <c r="K5" i="1"/>
  <c r="K103" i="1"/>
  <c r="R101" i="1"/>
  <c r="Q101" i="1"/>
  <c r="P101" i="1"/>
  <c r="O101" i="1"/>
  <c r="N101" i="1"/>
  <c r="M101" i="1"/>
  <c r="L101" i="1"/>
  <c r="K101" i="1"/>
  <c r="J101" i="1"/>
  <c r="I101" i="1"/>
  <c r="H101" i="1"/>
  <c r="R96" i="1"/>
  <c r="Q96" i="1"/>
  <c r="P96" i="1"/>
  <c r="O96" i="1"/>
  <c r="N96" i="1"/>
  <c r="M96" i="1"/>
  <c r="L96" i="1"/>
  <c r="K96" i="1"/>
  <c r="J96" i="1"/>
  <c r="I96" i="1"/>
  <c r="H96" i="1"/>
  <c r="R94" i="1"/>
  <c r="Q94" i="1"/>
  <c r="P94" i="1"/>
  <c r="O94" i="1"/>
  <c r="N94" i="1"/>
  <c r="M94" i="1"/>
  <c r="L94" i="1"/>
  <c r="K94" i="1"/>
  <c r="J94" i="1"/>
  <c r="I94" i="1"/>
  <c r="H94" i="1"/>
  <c r="H87" i="1"/>
  <c r="H95" i="1"/>
  <c r="R85" i="1"/>
  <c r="Q85" i="1"/>
  <c r="P85" i="1"/>
  <c r="O85" i="1"/>
  <c r="N85" i="1"/>
  <c r="M85" i="1"/>
  <c r="L85" i="1"/>
  <c r="K85" i="1"/>
  <c r="J85" i="1"/>
  <c r="I85" i="1"/>
  <c r="H85" i="1"/>
  <c r="R71" i="1"/>
  <c r="Q71" i="1"/>
  <c r="P71" i="1"/>
  <c r="O71" i="1"/>
  <c r="N71" i="1"/>
  <c r="M71" i="1"/>
  <c r="L71" i="1"/>
  <c r="K71" i="1"/>
  <c r="J71" i="1"/>
  <c r="I71" i="1"/>
  <c r="H71" i="1"/>
  <c r="H57" i="1"/>
  <c r="H73" i="1"/>
  <c r="R41" i="1"/>
  <c r="R132" i="1"/>
  <c r="Q41" i="1"/>
  <c r="P41" i="1"/>
  <c r="P132" i="1"/>
  <c r="O41" i="1"/>
  <c r="O38" i="1"/>
  <c r="O118" i="1"/>
  <c r="N41" i="1"/>
  <c r="N132" i="1"/>
  <c r="M41" i="1"/>
  <c r="L41" i="1"/>
  <c r="L132" i="1"/>
  <c r="K41" i="1"/>
  <c r="K38" i="1"/>
  <c r="K131" i="1"/>
  <c r="J41" i="1"/>
  <c r="J132" i="1"/>
  <c r="I41" i="1"/>
  <c r="H41" i="1"/>
  <c r="H132" i="1"/>
  <c r="R38" i="1"/>
  <c r="Q38" i="1"/>
  <c r="N38" i="1"/>
  <c r="M38" i="1"/>
  <c r="L38" i="1"/>
  <c r="L133" i="1"/>
  <c r="J38" i="1"/>
  <c r="J33" i="1"/>
  <c r="J46" i="1"/>
  <c r="I38" i="1"/>
  <c r="H38" i="1"/>
  <c r="H133" i="1"/>
  <c r="R33" i="1"/>
  <c r="R113" i="1"/>
  <c r="Q33" i="1"/>
  <c r="Q117" i="1"/>
  <c r="P33" i="1"/>
  <c r="O128" i="1"/>
  <c r="N33" i="1"/>
  <c r="M33" i="1"/>
  <c r="L33" i="1"/>
  <c r="K33" i="1"/>
  <c r="K116" i="1"/>
  <c r="K117" i="1"/>
  <c r="I33" i="1"/>
  <c r="H33" i="1"/>
  <c r="I32" i="1"/>
  <c r="R27" i="1"/>
  <c r="Q27" i="1"/>
  <c r="Q108" i="1"/>
  <c r="P27" i="1"/>
  <c r="O27" i="1"/>
  <c r="O142" i="1"/>
  <c r="N27" i="1"/>
  <c r="M27" i="1"/>
  <c r="M142" i="1"/>
  <c r="L27" i="1"/>
  <c r="L108" i="1"/>
  <c r="K27" i="1"/>
  <c r="K10" i="1"/>
  <c r="K4" i="1"/>
  <c r="K114" i="1"/>
  <c r="J27" i="1"/>
  <c r="I27" i="1"/>
  <c r="H27" i="1"/>
  <c r="H108" i="1"/>
  <c r="R19" i="1"/>
  <c r="Q19" i="1"/>
  <c r="Q139" i="1"/>
  <c r="P19" i="1"/>
  <c r="O19" i="1"/>
  <c r="N19" i="1"/>
  <c r="N139" i="1"/>
  <c r="L19" i="1"/>
  <c r="K19" i="1"/>
  <c r="J19" i="1"/>
  <c r="I19" i="1"/>
  <c r="I97" i="1"/>
  <c r="I98" i="1"/>
  <c r="H19" i="1"/>
  <c r="H18" i="1"/>
  <c r="L18" i="1"/>
  <c r="R10" i="1"/>
  <c r="R138" i="1"/>
  <c r="Q10" i="1"/>
  <c r="P10" i="1"/>
  <c r="P138" i="1"/>
  <c r="O10" i="1"/>
  <c r="N10" i="1"/>
  <c r="L10" i="1"/>
  <c r="K110" i="1"/>
  <c r="K138" i="1"/>
  <c r="J10" i="1"/>
  <c r="J138" i="1"/>
  <c r="I10" i="1"/>
  <c r="H10" i="1"/>
  <c r="H138" i="1"/>
  <c r="R5" i="1"/>
  <c r="R104" i="1"/>
  <c r="Q5" i="1"/>
  <c r="P5" i="1"/>
  <c r="P104" i="1"/>
  <c r="O5" i="1"/>
  <c r="O137" i="1"/>
  <c r="N5" i="1"/>
  <c r="N104" i="1"/>
  <c r="M104" i="1"/>
  <c r="L5" i="1"/>
  <c r="K137" i="1"/>
  <c r="J5" i="1"/>
  <c r="I5" i="1"/>
  <c r="I104" i="1"/>
  <c r="I137" i="1"/>
  <c r="H5" i="1"/>
  <c r="H137" i="1"/>
  <c r="L128" i="1"/>
  <c r="L113" i="1"/>
  <c r="L89" i="1"/>
  <c r="L116" i="1"/>
  <c r="L117" i="1"/>
  <c r="Q133" i="1"/>
  <c r="M116" i="1"/>
  <c r="M123" i="1"/>
  <c r="J131" i="1"/>
  <c r="H104" i="1"/>
  <c r="Q97" i="1"/>
  <c r="Q98" i="1"/>
  <c r="I138" i="1"/>
  <c r="I4" i="1"/>
  <c r="I110" i="1"/>
  <c r="I133" i="1"/>
  <c r="I118" i="1"/>
  <c r="M138" i="1"/>
  <c r="J142" i="1"/>
  <c r="J108" i="1"/>
  <c r="R142" i="1"/>
  <c r="R108" i="1"/>
  <c r="H128" i="1"/>
  <c r="H113" i="1"/>
  <c r="H89" i="1"/>
  <c r="H116" i="1"/>
  <c r="H117" i="1"/>
  <c r="P128" i="1"/>
  <c r="P113" i="1"/>
  <c r="P116" i="1"/>
  <c r="P120" i="1"/>
  <c r="P117" i="1"/>
  <c r="M133" i="1"/>
  <c r="I117" i="1"/>
  <c r="I128" i="1"/>
  <c r="I116" i="1"/>
  <c r="I113" i="1"/>
  <c r="H46" i="1"/>
  <c r="H103" i="1"/>
  <c r="M113" i="1"/>
  <c r="H4" i="1"/>
  <c r="L46" i="1"/>
  <c r="I87" i="1"/>
  <c r="I95" i="1"/>
  <c r="I106" i="1"/>
  <c r="H91" i="1"/>
  <c r="O123" i="1"/>
  <c r="O124" i="1"/>
  <c r="L91" i="1"/>
  <c r="M117" i="1"/>
  <c r="L103" i="1"/>
  <c r="I139" i="1"/>
  <c r="L142" i="1"/>
  <c r="J116" i="1"/>
  <c r="J117" i="1"/>
  <c r="R117" i="1"/>
  <c r="R116" i="1"/>
  <c r="R125" i="1"/>
  <c r="K97" i="1"/>
  <c r="K98" i="1"/>
  <c r="J113" i="1"/>
  <c r="H139" i="1"/>
  <c r="H97" i="1"/>
  <c r="H98" i="1"/>
  <c r="P139" i="1"/>
  <c r="P97" i="1"/>
  <c r="P98" i="1"/>
  <c r="H131" i="1"/>
  <c r="P131" i="1"/>
  <c r="K46" i="1"/>
  <c r="K92" i="1"/>
  <c r="R128" i="1"/>
  <c r="O133" i="1"/>
  <c r="H142" i="1"/>
  <c r="H114" i="1"/>
  <c r="K121" i="1"/>
  <c r="K136" i="1"/>
  <c r="L97" i="1"/>
  <c r="L98" i="1"/>
  <c r="L99" i="1"/>
  <c r="L139" i="1"/>
  <c r="L118" i="1"/>
  <c r="K107" i="1"/>
  <c r="J128" i="1"/>
  <c r="K133" i="1"/>
  <c r="H105" i="1"/>
  <c r="P105" i="1"/>
  <c r="O108" i="1"/>
  <c r="K112" i="1"/>
  <c r="H118" i="1"/>
  <c r="P118" i="1"/>
  <c r="L131" i="1"/>
  <c r="L105" i="1"/>
  <c r="J125" i="1"/>
  <c r="J122" i="1"/>
  <c r="J124" i="1"/>
  <c r="J121" i="1"/>
  <c r="J120" i="1"/>
  <c r="J123" i="1"/>
  <c r="L93" i="1"/>
  <c r="L134" i="1"/>
  <c r="L88" i="1"/>
  <c r="L92" i="1"/>
  <c r="L48" i="1"/>
  <c r="L51" i="1"/>
  <c r="H31" i="1"/>
  <c r="H136" i="1"/>
  <c r="H110" i="1"/>
  <c r="H107" i="1"/>
  <c r="I136" i="1"/>
  <c r="I107" i="1"/>
  <c r="M121" i="1"/>
  <c r="M120" i="1"/>
  <c r="M122" i="1"/>
  <c r="L124" i="1"/>
  <c r="L123" i="1"/>
  <c r="L120" i="1"/>
  <c r="L122" i="1"/>
  <c r="L121" i="1"/>
  <c r="L125" i="1"/>
  <c r="H99" i="1"/>
  <c r="H100" i="1"/>
  <c r="R122" i="1"/>
  <c r="R124" i="1"/>
  <c r="R121" i="1"/>
  <c r="R123" i="1"/>
  <c r="L102" i="1"/>
  <c r="L90" i="1"/>
  <c r="K99" i="1"/>
  <c r="I120" i="1"/>
  <c r="I125" i="1"/>
  <c r="I124" i="1"/>
  <c r="I121" i="1"/>
  <c r="I123" i="1"/>
  <c r="I122" i="1"/>
  <c r="H120" i="1"/>
  <c r="H122" i="1"/>
  <c r="H124" i="1"/>
  <c r="H123" i="1"/>
  <c r="H125" i="1"/>
  <c r="H121" i="1"/>
  <c r="H112" i="1"/>
  <c r="H102" i="1"/>
  <c r="H90" i="1"/>
  <c r="P123" i="1"/>
  <c r="P122" i="1"/>
  <c r="P125" i="1"/>
  <c r="H93" i="1"/>
  <c r="H134" i="1"/>
  <c r="H92" i="1"/>
  <c r="H88" i="1"/>
  <c r="H48" i="1"/>
  <c r="H51" i="1"/>
  <c r="H135" i="1"/>
  <c r="L135" i="1"/>
  <c r="L52" i="1"/>
  <c r="Q18" i="1"/>
  <c r="R137" i="1"/>
  <c r="R4" i="1"/>
  <c r="R110" i="1"/>
  <c r="R103" i="1"/>
  <c r="P137" i="1"/>
  <c r="P103" i="1"/>
  <c r="P4" i="1"/>
  <c r="P112" i="1"/>
  <c r="R107" i="1"/>
  <c r="P107" i="1"/>
  <c r="O104" i="1"/>
  <c r="O4" i="1"/>
  <c r="O136" i="1"/>
  <c r="P46" i="1"/>
  <c r="P92" i="1"/>
  <c r="P91" i="1"/>
  <c r="P89" i="1"/>
  <c r="P90" i="1"/>
  <c r="R120" i="1"/>
  <c r="P124" i="1"/>
  <c r="P121" i="1"/>
  <c r="N97" i="1"/>
  <c r="N98" i="1"/>
  <c r="N103" i="1"/>
  <c r="N137" i="1"/>
  <c r="N89" i="1"/>
  <c r="N90" i="1"/>
  <c r="N105" i="1"/>
  <c r="N128" i="1"/>
  <c r="M91" i="1"/>
  <c r="M125" i="1"/>
  <c r="M124" i="1"/>
  <c r="M128" i="1"/>
  <c r="M108" i="1"/>
  <c r="M18" i="1"/>
  <c r="I99" i="1"/>
  <c r="J134" i="1"/>
  <c r="J93" i="1"/>
  <c r="J88" i="1"/>
  <c r="J92" i="1"/>
  <c r="J48" i="1"/>
  <c r="J51" i="1"/>
  <c r="O107" i="1"/>
  <c r="O18" i="1"/>
  <c r="O31" i="1"/>
  <c r="O112" i="1"/>
  <c r="R139" i="1"/>
  <c r="R18" i="1"/>
  <c r="R97" i="1"/>
  <c r="R98" i="1"/>
  <c r="N108" i="1"/>
  <c r="N142" i="1"/>
  <c r="Q128" i="1"/>
  <c r="Q116" i="1"/>
  <c r="Q113" i="1"/>
  <c r="R133" i="1"/>
  <c r="R105" i="1"/>
  <c r="R46" i="1"/>
  <c r="R118" i="1"/>
  <c r="R91" i="1"/>
  <c r="R89" i="1"/>
  <c r="Q99" i="1"/>
  <c r="J103" i="1"/>
  <c r="J4" i="1"/>
  <c r="J137" i="1"/>
  <c r="Q137" i="1"/>
  <c r="Q4" i="1"/>
  <c r="Q110" i="1"/>
  <c r="Q103" i="1"/>
  <c r="Q104" i="1"/>
  <c r="K18" i="1"/>
  <c r="O139" i="1"/>
  <c r="O97" i="1"/>
  <c r="O98" i="1"/>
  <c r="J32" i="1"/>
  <c r="I57" i="1"/>
  <c r="I73" i="1"/>
  <c r="N113" i="1"/>
  <c r="N117" i="1"/>
  <c r="N116" i="1"/>
  <c r="N46" i="1"/>
  <c r="J104" i="1"/>
  <c r="O125" i="1"/>
  <c r="O120" i="1"/>
  <c r="O122" i="1"/>
  <c r="O121" i="1"/>
  <c r="L138" i="1"/>
  <c r="K108" i="1"/>
  <c r="K142" i="1"/>
  <c r="J133" i="1"/>
  <c r="J91" i="1"/>
  <c r="J118" i="1"/>
  <c r="J89" i="1"/>
  <c r="J105" i="1"/>
  <c r="K132" i="1"/>
  <c r="K89" i="1"/>
  <c r="K118" i="1"/>
  <c r="K91" i="1"/>
  <c r="K105" i="1"/>
  <c r="Q46" i="1"/>
  <c r="H52" i="1"/>
  <c r="N91" i="1"/>
  <c r="P110" i="1"/>
  <c r="P136" i="1"/>
  <c r="N18" i="1"/>
  <c r="Q91" i="1"/>
  <c r="Q138" i="1"/>
  <c r="I142" i="1"/>
  <c r="I108" i="1"/>
  <c r="I18" i="1"/>
  <c r="I31" i="1"/>
  <c r="I114" i="1"/>
  <c r="P108" i="1"/>
  <c r="P142" i="1"/>
  <c r="P18" i="1"/>
  <c r="P31" i="1"/>
  <c r="P114" i="1"/>
  <c r="K123" i="1"/>
  <c r="K125" i="1"/>
  <c r="K124" i="1"/>
  <c r="K120" i="1"/>
  <c r="K122" i="1"/>
  <c r="I132" i="1"/>
  <c r="I105" i="1"/>
  <c r="I131" i="1"/>
  <c r="I91" i="1"/>
  <c r="I89" i="1"/>
  <c r="I46" i="1"/>
  <c r="M132" i="1"/>
  <c r="M118" i="1"/>
  <c r="M131" i="1"/>
  <c r="M46" i="1"/>
  <c r="M89" i="1"/>
  <c r="Q132" i="1"/>
  <c r="Q118" i="1"/>
  <c r="Q131" i="1"/>
  <c r="Q105" i="1"/>
  <c r="M105" i="1"/>
  <c r="K134" i="1"/>
  <c r="K93" i="1"/>
  <c r="K88" i="1"/>
  <c r="K48" i="1"/>
  <c r="K51" i="1"/>
  <c r="K31" i="1"/>
  <c r="J97" i="1"/>
  <c r="J98" i="1"/>
  <c r="J139" i="1"/>
  <c r="J18" i="1"/>
  <c r="N118" i="1"/>
  <c r="N131" i="1"/>
  <c r="N133" i="1"/>
  <c r="O132" i="1"/>
  <c r="O131" i="1"/>
  <c r="O105" i="1"/>
  <c r="O91" i="1"/>
  <c r="O46" i="1"/>
  <c r="O89" i="1"/>
  <c r="H109" i="1"/>
  <c r="H115" i="1"/>
  <c r="H119" i="1"/>
  <c r="H127" i="1"/>
  <c r="H106" i="1"/>
  <c r="L100" i="1"/>
  <c r="I109" i="1"/>
  <c r="I115" i="1"/>
  <c r="I119" i="1"/>
  <c r="I127" i="1"/>
  <c r="O110" i="1"/>
  <c r="P100" i="1"/>
  <c r="P99" i="1"/>
  <c r="Q89" i="1"/>
  <c r="R131" i="1"/>
  <c r="L4" i="1"/>
  <c r="L137" i="1"/>
  <c r="L104" i="1"/>
  <c r="N138" i="1"/>
  <c r="N4" i="1"/>
  <c r="N110" i="1"/>
  <c r="M139" i="1"/>
  <c r="M97" i="1"/>
  <c r="M98" i="1"/>
  <c r="K104" i="1"/>
  <c r="M137" i="1"/>
  <c r="O138" i="1"/>
  <c r="K139" i="1"/>
  <c r="Q142" i="1"/>
  <c r="O117" i="1"/>
  <c r="M103" i="1"/>
  <c r="O103" i="1"/>
  <c r="K113" i="1"/>
  <c r="K128" i="1"/>
  <c r="I112" i="1"/>
  <c r="I103" i="1"/>
  <c r="R112" i="1"/>
  <c r="R114" i="1"/>
  <c r="R31" i="1"/>
  <c r="R136" i="1"/>
  <c r="Q112" i="1"/>
  <c r="O114" i="1"/>
  <c r="P102" i="1"/>
  <c r="P134" i="1"/>
  <c r="P48" i="1"/>
  <c r="P51" i="1"/>
  <c r="P93" i="1"/>
  <c r="P88" i="1"/>
  <c r="N100" i="1"/>
  <c r="N99" i="1"/>
  <c r="N102" i="1"/>
  <c r="Q93" i="1"/>
  <c r="Q134" i="1"/>
  <c r="Q92" i="1"/>
  <c r="Q88" i="1"/>
  <c r="Q48" i="1"/>
  <c r="Q51" i="1"/>
  <c r="N112" i="1"/>
  <c r="J110" i="1"/>
  <c r="J107" i="1"/>
  <c r="J112" i="1"/>
  <c r="J31" i="1"/>
  <c r="J114" i="1"/>
  <c r="J136" i="1"/>
  <c r="R102" i="1"/>
  <c r="R90" i="1"/>
  <c r="M100" i="1"/>
  <c r="M99" i="1"/>
  <c r="L136" i="1"/>
  <c r="L31" i="1"/>
  <c r="L114" i="1"/>
  <c r="L107" i="1"/>
  <c r="L112" i="1"/>
  <c r="O134" i="1"/>
  <c r="O92" i="1"/>
  <c r="O88" i="1"/>
  <c r="O93" i="1"/>
  <c r="O48" i="1"/>
  <c r="O51" i="1"/>
  <c r="K135" i="1"/>
  <c r="K52" i="1"/>
  <c r="N125" i="1"/>
  <c r="N122" i="1"/>
  <c r="N121" i="1"/>
  <c r="N124" i="1"/>
  <c r="N120" i="1"/>
  <c r="N123" i="1"/>
  <c r="J57" i="1"/>
  <c r="J73" i="1"/>
  <c r="J87" i="1"/>
  <c r="J95" i="1"/>
  <c r="K32" i="1"/>
  <c r="Q31" i="1"/>
  <c r="Q114" i="1"/>
  <c r="Q107" i="1"/>
  <c r="Q136" i="1"/>
  <c r="N31" i="1"/>
  <c r="N136" i="1"/>
  <c r="N107" i="1"/>
  <c r="I90" i="1"/>
  <c r="I102" i="1"/>
  <c r="R99" i="1"/>
  <c r="R100" i="1"/>
  <c r="M90" i="1"/>
  <c r="M102" i="1"/>
  <c r="L110" i="1"/>
  <c r="M107" i="1"/>
  <c r="M31" i="1"/>
  <c r="M114" i="1"/>
  <c r="M112" i="1"/>
  <c r="M136" i="1"/>
  <c r="M110" i="1"/>
  <c r="O102" i="1"/>
  <c r="O90" i="1"/>
  <c r="K102" i="1"/>
  <c r="K100" i="1"/>
  <c r="K90" i="1"/>
  <c r="Q90" i="1"/>
  <c r="Q102" i="1"/>
  <c r="Q100" i="1"/>
  <c r="J99" i="1"/>
  <c r="J100" i="1"/>
  <c r="M92" i="1"/>
  <c r="M93" i="1"/>
  <c r="M88" i="1"/>
  <c r="M48" i="1"/>
  <c r="M51" i="1"/>
  <c r="M134" i="1"/>
  <c r="I92" i="1"/>
  <c r="I48" i="1"/>
  <c r="I51" i="1"/>
  <c r="I134" i="1"/>
  <c r="I93" i="1"/>
  <c r="I88" i="1"/>
  <c r="J102" i="1"/>
  <c r="J90" i="1"/>
  <c r="N93" i="1"/>
  <c r="N88" i="1"/>
  <c r="N134" i="1"/>
  <c r="N92" i="1"/>
  <c r="N48" i="1"/>
  <c r="N51" i="1"/>
  <c r="O99" i="1"/>
  <c r="O100" i="1"/>
  <c r="R48" i="1"/>
  <c r="R51" i="1"/>
  <c r="R134" i="1"/>
  <c r="R92" i="1"/>
  <c r="R93" i="1"/>
  <c r="R88" i="1"/>
  <c r="Q121" i="1"/>
  <c r="Q125" i="1"/>
  <c r="Q120" i="1"/>
  <c r="Q123" i="1"/>
  <c r="Q122" i="1"/>
  <c r="Q124" i="1"/>
  <c r="N114" i="1"/>
  <c r="J52" i="1"/>
  <c r="J135" i="1"/>
  <c r="I100" i="1"/>
  <c r="P135" i="1"/>
  <c r="P52" i="1"/>
  <c r="J109" i="1"/>
  <c r="J115" i="1"/>
  <c r="J119" i="1"/>
  <c r="J127" i="1"/>
  <c r="J106" i="1"/>
  <c r="R135" i="1"/>
  <c r="R52" i="1"/>
  <c r="M52" i="1"/>
  <c r="M135" i="1"/>
  <c r="I52" i="1"/>
  <c r="I135" i="1"/>
  <c r="O135" i="1"/>
  <c r="O52" i="1"/>
  <c r="N52" i="1"/>
  <c r="N135" i="1"/>
  <c r="K87" i="1"/>
  <c r="K95" i="1"/>
  <c r="K57" i="1"/>
  <c r="K73" i="1"/>
  <c r="L32" i="1"/>
  <c r="Q135" i="1"/>
  <c r="Q52" i="1"/>
  <c r="L57" i="1"/>
  <c r="L73" i="1"/>
  <c r="M32" i="1"/>
  <c r="L87" i="1"/>
  <c r="L95" i="1"/>
  <c r="K109" i="1"/>
  <c r="K115" i="1"/>
  <c r="K119" i="1"/>
  <c r="K127" i="1"/>
  <c r="K106" i="1"/>
  <c r="L109" i="1"/>
  <c r="L115" i="1"/>
  <c r="L119" i="1"/>
  <c r="L127" i="1"/>
  <c r="L106" i="1"/>
  <c r="N32" i="1"/>
  <c r="M57" i="1"/>
  <c r="M73" i="1"/>
  <c r="M87" i="1"/>
  <c r="M95" i="1"/>
  <c r="N87" i="1"/>
  <c r="N95" i="1"/>
  <c r="N57" i="1"/>
  <c r="N73" i="1"/>
  <c r="O32" i="1"/>
  <c r="M106" i="1"/>
  <c r="M109" i="1"/>
  <c r="M115" i="1"/>
  <c r="M119" i="1"/>
  <c r="M127" i="1"/>
  <c r="O57" i="1"/>
  <c r="O73" i="1"/>
  <c r="P32" i="1"/>
  <c r="O87" i="1"/>
  <c r="O95" i="1"/>
  <c r="N109" i="1"/>
  <c r="N115" i="1"/>
  <c r="N119" i="1"/>
  <c r="N127" i="1"/>
  <c r="N106" i="1"/>
  <c r="O109" i="1"/>
  <c r="O115" i="1"/>
  <c r="O119" i="1"/>
  <c r="O127" i="1"/>
  <c r="O106" i="1"/>
  <c r="P87" i="1"/>
  <c r="P95" i="1"/>
  <c r="P57" i="1"/>
  <c r="P73" i="1"/>
  <c r="Q32" i="1"/>
  <c r="Q87" i="1"/>
  <c r="Q95" i="1"/>
  <c r="Q57" i="1"/>
  <c r="Q73" i="1"/>
  <c r="R32" i="1"/>
  <c r="P109" i="1"/>
  <c r="P115" i="1"/>
  <c r="P119" i="1"/>
  <c r="P127" i="1"/>
  <c r="P106" i="1"/>
  <c r="R87" i="1"/>
  <c r="R95" i="1"/>
  <c r="R57" i="1"/>
  <c r="R73" i="1"/>
  <c r="Q106" i="1"/>
  <c r="Q109" i="1"/>
  <c r="Q115" i="1"/>
  <c r="Q119" i="1"/>
  <c r="Q127" i="1"/>
  <c r="R109" i="1"/>
  <c r="R115" i="1"/>
  <c r="R119" i="1"/>
  <c r="R127" i="1"/>
  <c r="R106" i="1"/>
  <c r="R57" i="13" l="1"/>
  <c r="R73" i="13" s="1"/>
  <c r="R87" i="13"/>
  <c r="R95" i="13" s="1"/>
  <c r="Q109" i="13"/>
  <c r="Q115" i="13" s="1"/>
  <c r="Q119" i="13" s="1"/>
  <c r="Q127" i="13" s="1"/>
  <c r="Q106" i="13"/>
  <c r="Q57" i="12"/>
  <c r="Q73" i="12" s="1"/>
  <c r="R32" i="12"/>
  <c r="Q87" i="12"/>
  <c r="Q95" i="12" s="1"/>
  <c r="P106" i="12"/>
  <c r="P109" i="12"/>
  <c r="P115" i="12" s="1"/>
  <c r="P119" i="12" s="1"/>
  <c r="P127" i="12" s="1"/>
  <c r="O114" i="11"/>
  <c r="O142" i="11"/>
  <c r="O108" i="11"/>
  <c r="O18" i="11"/>
  <c r="O31" i="11" s="1"/>
  <c r="O109" i="11"/>
  <c r="O115" i="11" s="1"/>
  <c r="O119" i="11" s="1"/>
  <c r="O127" i="11" s="1"/>
  <c r="O106" i="11"/>
  <c r="P94" i="11"/>
  <c r="Q29" i="11"/>
  <c r="P27" i="11"/>
  <c r="P87" i="11"/>
  <c r="P95" i="11" s="1"/>
  <c r="P57" i="11"/>
  <c r="P73" i="11" s="1"/>
  <c r="Q32" i="11"/>
  <c r="P32" i="10"/>
  <c r="O87" i="10"/>
  <c r="O95" i="10" s="1"/>
  <c r="O57" i="10"/>
  <c r="O73" i="10" s="1"/>
  <c r="N106" i="10"/>
  <c r="N109" i="10"/>
  <c r="N115" i="10" s="1"/>
  <c r="N119" i="10" s="1"/>
  <c r="N127" i="10" s="1"/>
  <c r="P142" i="9"/>
  <c r="P108" i="9"/>
  <c r="P114" i="9"/>
  <c r="P18" i="9"/>
  <c r="P31" i="9" s="1"/>
  <c r="N87" i="9"/>
  <c r="N95" i="9" s="1"/>
  <c r="N57" i="9"/>
  <c r="N73" i="9" s="1"/>
  <c r="O32" i="9"/>
  <c r="Q94" i="9"/>
  <c r="Q27" i="9"/>
  <c r="M109" i="9"/>
  <c r="M115" i="9" s="1"/>
  <c r="M119" i="9" s="1"/>
  <c r="M127" i="9" s="1"/>
  <c r="M106" i="9"/>
  <c r="R107" i="8"/>
  <c r="R136" i="8"/>
  <c r="R114" i="8"/>
  <c r="R31" i="8"/>
  <c r="R112" i="8"/>
  <c r="R120" i="8"/>
  <c r="R124" i="8"/>
  <c r="R110" i="8"/>
  <c r="M106" i="8"/>
  <c r="M109" i="8"/>
  <c r="M115" i="8" s="1"/>
  <c r="M119" i="8" s="1"/>
  <c r="M127" i="8" s="1"/>
  <c r="N57" i="8"/>
  <c r="N73" i="8" s="1"/>
  <c r="N87" i="8"/>
  <c r="N95" i="8" s="1"/>
  <c r="O32" i="8"/>
  <c r="L109" i="7"/>
  <c r="L115" i="7" s="1"/>
  <c r="L119" i="7" s="1"/>
  <c r="L127" i="7" s="1"/>
  <c r="L106" i="7"/>
  <c r="L94" i="7"/>
  <c r="L27" i="7"/>
  <c r="M29" i="7"/>
  <c r="N32" i="7"/>
  <c r="M87" i="7"/>
  <c r="M95" i="7" s="1"/>
  <c r="M57" i="7"/>
  <c r="M73" i="7" s="1"/>
  <c r="K142" i="7"/>
  <c r="K108" i="7"/>
  <c r="K114" i="7"/>
  <c r="K18" i="7"/>
  <c r="K31" i="7" s="1"/>
  <c r="P135" i="6"/>
  <c r="P52" i="6"/>
  <c r="M135" i="6"/>
  <c r="M52" i="6"/>
  <c r="Q135" i="6"/>
  <c r="Q52" i="6"/>
  <c r="K52" i="6"/>
  <c r="K135" i="6"/>
  <c r="O135" i="6"/>
  <c r="O52" i="6"/>
  <c r="O32" i="6"/>
  <c r="N57" i="6"/>
  <c r="N73" i="6" s="1"/>
  <c r="N87" i="6"/>
  <c r="N95" i="6" s="1"/>
  <c r="I135" i="6"/>
  <c r="I52" i="6"/>
  <c r="L135" i="6"/>
  <c r="L52" i="6"/>
  <c r="N135" i="6"/>
  <c r="N52" i="6"/>
  <c r="H135" i="6"/>
  <c r="H52" i="6"/>
  <c r="R135" i="6"/>
  <c r="R52" i="6"/>
  <c r="J135" i="6"/>
  <c r="J52" i="6"/>
  <c r="M109" i="6"/>
  <c r="M115" i="6" s="1"/>
  <c r="M119" i="6" s="1"/>
  <c r="M127" i="6" s="1"/>
  <c r="M106" i="6"/>
  <c r="L123" i="4"/>
  <c r="L122" i="4"/>
  <c r="L124" i="4"/>
  <c r="L121" i="4"/>
  <c r="L120" i="4"/>
  <c r="L125" i="4"/>
  <c r="P102" i="4"/>
  <c r="P90" i="4"/>
  <c r="P122" i="4"/>
  <c r="P120" i="4"/>
  <c r="P121" i="4"/>
  <c r="O99" i="4"/>
  <c r="O100" i="4"/>
  <c r="P88" i="4"/>
  <c r="P48" i="4"/>
  <c r="P51" i="4" s="1"/>
  <c r="P125" i="4" s="1"/>
  <c r="P93" i="4"/>
  <c r="P134" i="4"/>
  <c r="P92" i="4"/>
  <c r="Q120" i="4"/>
  <c r="Q122" i="4"/>
  <c r="Q121" i="4"/>
  <c r="I120" i="4"/>
  <c r="I122" i="4"/>
  <c r="I121" i="4"/>
  <c r="I102" i="4"/>
  <c r="I90" i="4"/>
  <c r="N102" i="4"/>
  <c r="N90" i="4"/>
  <c r="N125" i="4"/>
  <c r="N121" i="4"/>
  <c r="N124" i="4"/>
  <c r="N120" i="4"/>
  <c r="N123" i="4"/>
  <c r="N122" i="4"/>
  <c r="R99" i="4"/>
  <c r="R100" i="4"/>
  <c r="J138" i="4"/>
  <c r="J110" i="4"/>
  <c r="P100" i="4"/>
  <c r="O136" i="4"/>
  <c r="O107" i="4"/>
  <c r="O31" i="4"/>
  <c r="K136" i="4"/>
  <c r="K107" i="4"/>
  <c r="K31" i="4"/>
  <c r="J134" i="4"/>
  <c r="J92" i="4"/>
  <c r="J93" i="4"/>
  <c r="J48" i="4"/>
  <c r="J51" i="4" s="1"/>
  <c r="J88" i="4"/>
  <c r="J90" i="4"/>
  <c r="J102" i="4"/>
  <c r="J125" i="4"/>
  <c r="J121" i="4"/>
  <c r="J124" i="4"/>
  <c r="J120" i="4"/>
  <c r="J122" i="4"/>
  <c r="J123" i="4"/>
  <c r="M102" i="4"/>
  <c r="M90" i="4"/>
  <c r="H102" i="4"/>
  <c r="H90" i="4"/>
  <c r="H122" i="4"/>
  <c r="H120" i="4"/>
  <c r="H121" i="4"/>
  <c r="K100" i="4"/>
  <c r="K99" i="4"/>
  <c r="L134" i="4"/>
  <c r="L92" i="4"/>
  <c r="L93" i="4"/>
  <c r="L88" i="4"/>
  <c r="L48" i="4"/>
  <c r="L51" i="4" s="1"/>
  <c r="K102" i="4"/>
  <c r="K90" i="4"/>
  <c r="J99" i="4"/>
  <c r="J100" i="4"/>
  <c r="I106" i="4"/>
  <c r="I109" i="4"/>
  <c r="I115" i="4" s="1"/>
  <c r="I119" i="4" s="1"/>
  <c r="I127" i="4" s="1"/>
  <c r="O134" i="4"/>
  <c r="O92" i="4"/>
  <c r="O88" i="4"/>
  <c r="O93" i="4"/>
  <c r="O48" i="4"/>
  <c r="O51" i="4" s="1"/>
  <c r="K122" i="4"/>
  <c r="K125" i="4"/>
  <c r="K121" i="4"/>
  <c r="K124" i="4"/>
  <c r="K123" i="4"/>
  <c r="K120" i="4"/>
  <c r="O102" i="4"/>
  <c r="O90" i="4"/>
  <c r="R102" i="4"/>
  <c r="R90" i="4"/>
  <c r="R121" i="4"/>
  <c r="R120" i="4"/>
  <c r="R122" i="4"/>
  <c r="N135" i="4"/>
  <c r="N52" i="4"/>
  <c r="H88" i="4"/>
  <c r="H48" i="4"/>
  <c r="H51" i="4" s="1"/>
  <c r="H123" i="4" s="1"/>
  <c r="H93" i="4"/>
  <c r="H134" i="4"/>
  <c r="H92" i="4"/>
  <c r="M120" i="4"/>
  <c r="M121" i="4"/>
  <c r="M122" i="4"/>
  <c r="H100" i="4"/>
  <c r="Q134" i="4"/>
  <c r="Q92" i="4"/>
  <c r="Q88" i="4"/>
  <c r="Q48" i="4"/>
  <c r="Q51" i="4" s="1"/>
  <c r="Q124" i="4" s="1"/>
  <c r="Q93" i="4"/>
  <c r="P136" i="4"/>
  <c r="P107" i="4"/>
  <c r="P31" i="4"/>
  <c r="Q99" i="4"/>
  <c r="Q100" i="4"/>
  <c r="I99" i="4"/>
  <c r="I100" i="4"/>
  <c r="M134" i="4"/>
  <c r="M92" i="4"/>
  <c r="M88" i="4"/>
  <c r="M48" i="4"/>
  <c r="M51" i="4" s="1"/>
  <c r="M124" i="4" s="1"/>
  <c r="M93" i="4"/>
  <c r="O122" i="4"/>
  <c r="O125" i="4"/>
  <c r="O121" i="4"/>
  <c r="O123" i="4"/>
  <c r="O120" i="4"/>
  <c r="O124" i="4"/>
  <c r="K134" i="4"/>
  <c r="K92" i="4"/>
  <c r="K88" i="4"/>
  <c r="K93" i="4"/>
  <c r="K48" i="4"/>
  <c r="K51" i="4" s="1"/>
  <c r="P110" i="4"/>
  <c r="Q102" i="4"/>
  <c r="Q90" i="4"/>
  <c r="R134" i="4"/>
  <c r="R92" i="4"/>
  <c r="R93" i="4"/>
  <c r="R88" i="4"/>
  <c r="R48" i="4"/>
  <c r="R51" i="4" s="1"/>
  <c r="R125" i="4" s="1"/>
  <c r="I93" i="4"/>
  <c r="I134" i="4"/>
  <c r="I92" i="4"/>
  <c r="I88" i="4"/>
  <c r="I48" i="4"/>
  <c r="I51" i="4" s="1"/>
  <c r="I125" i="4" s="1"/>
  <c r="N99" i="4"/>
  <c r="N100" i="4"/>
  <c r="L102" i="4"/>
  <c r="L90" i="4"/>
  <c r="M99" i="4"/>
  <c r="M100" i="4"/>
  <c r="J87" i="4"/>
  <c r="J95" i="4" s="1"/>
  <c r="K32" i="4"/>
  <c r="J57" i="4"/>
  <c r="J73" i="4" s="1"/>
  <c r="J107" i="4"/>
  <c r="J136" i="4"/>
  <c r="J31" i="4"/>
  <c r="R106" i="13" l="1"/>
  <c r="R109" i="13"/>
  <c r="R115" i="13" s="1"/>
  <c r="R119" i="13" s="1"/>
  <c r="R127" i="13" s="1"/>
  <c r="Q109" i="12"/>
  <c r="Q115" i="12" s="1"/>
  <c r="Q119" i="12" s="1"/>
  <c r="Q127" i="12" s="1"/>
  <c r="Q106" i="12"/>
  <c r="R87" i="12"/>
  <c r="R95" i="12" s="1"/>
  <c r="R57" i="12"/>
  <c r="R73" i="12" s="1"/>
  <c r="Q87" i="11"/>
  <c r="Q95" i="11" s="1"/>
  <c r="R32" i="11"/>
  <c r="Q57" i="11"/>
  <c r="Q73" i="11" s="1"/>
  <c r="Q27" i="11"/>
  <c r="Q94" i="11"/>
  <c r="R29" i="11"/>
  <c r="P106" i="11"/>
  <c r="P109" i="11"/>
  <c r="P115" i="11" s="1"/>
  <c r="P119" i="11" s="1"/>
  <c r="P127" i="11" s="1"/>
  <c r="P142" i="11"/>
  <c r="P114" i="11"/>
  <c r="P108" i="11"/>
  <c r="P18" i="11"/>
  <c r="P31" i="11" s="1"/>
  <c r="O109" i="10"/>
  <c r="O115" i="10" s="1"/>
  <c r="O119" i="10" s="1"/>
  <c r="O127" i="10" s="1"/>
  <c r="O106" i="10"/>
  <c r="P87" i="10"/>
  <c r="P95" i="10" s="1"/>
  <c r="P57" i="10"/>
  <c r="P73" i="10" s="1"/>
  <c r="Q32" i="10"/>
  <c r="O87" i="9"/>
  <c r="O95" i="9" s="1"/>
  <c r="O57" i="9"/>
  <c r="O73" i="9" s="1"/>
  <c r="P32" i="9"/>
  <c r="Q114" i="9"/>
  <c r="Q142" i="9"/>
  <c r="Q108" i="9"/>
  <c r="Q18" i="9"/>
  <c r="Q31" i="9" s="1"/>
  <c r="N106" i="9"/>
  <c r="N109" i="9"/>
  <c r="N115" i="9" s="1"/>
  <c r="N119" i="9" s="1"/>
  <c r="N127" i="9" s="1"/>
  <c r="O87" i="8"/>
  <c r="O95" i="8" s="1"/>
  <c r="P32" i="8"/>
  <c r="O57" i="8"/>
  <c r="O73" i="8" s="1"/>
  <c r="N106" i="8"/>
  <c r="N109" i="8"/>
  <c r="N115" i="8" s="1"/>
  <c r="N119" i="8" s="1"/>
  <c r="N127" i="8" s="1"/>
  <c r="M106" i="7"/>
  <c r="M109" i="7"/>
  <c r="M115" i="7" s="1"/>
  <c r="M119" i="7" s="1"/>
  <c r="M127" i="7" s="1"/>
  <c r="L142" i="7"/>
  <c r="L114" i="7"/>
  <c r="L108" i="7"/>
  <c r="L18" i="7"/>
  <c r="L31" i="7" s="1"/>
  <c r="L125" i="7"/>
  <c r="N87" i="7"/>
  <c r="N95" i="7" s="1"/>
  <c r="N57" i="7"/>
  <c r="N73" i="7" s="1"/>
  <c r="O32" i="7"/>
  <c r="M27" i="7"/>
  <c r="N29" i="7"/>
  <c r="M94" i="7"/>
  <c r="O57" i="6"/>
  <c r="O73" i="6" s="1"/>
  <c r="O87" i="6"/>
  <c r="O95" i="6" s="1"/>
  <c r="P32" i="6"/>
  <c r="N106" i="6"/>
  <c r="N109" i="6"/>
  <c r="N115" i="6" s="1"/>
  <c r="N119" i="6" s="1"/>
  <c r="N127" i="6" s="1"/>
  <c r="R124" i="4"/>
  <c r="L135" i="4"/>
  <c r="L52" i="4"/>
  <c r="H124" i="4"/>
  <c r="I124" i="4"/>
  <c r="Q123" i="4"/>
  <c r="M125" i="4"/>
  <c r="H135" i="4"/>
  <c r="H52" i="4"/>
  <c r="R123" i="4"/>
  <c r="O135" i="4"/>
  <c r="O52" i="4"/>
  <c r="H125" i="4"/>
  <c r="K87" i="4"/>
  <c r="K95" i="4" s="1"/>
  <c r="L32" i="4"/>
  <c r="K57" i="4"/>
  <c r="K73" i="4" s="1"/>
  <c r="I135" i="4"/>
  <c r="I52" i="4"/>
  <c r="J52" i="4"/>
  <c r="J135" i="4"/>
  <c r="I123" i="4"/>
  <c r="P135" i="4"/>
  <c r="P52" i="4"/>
  <c r="J109" i="4"/>
  <c r="J115" i="4" s="1"/>
  <c r="J119" i="4" s="1"/>
  <c r="J127" i="4" s="1"/>
  <c r="J106" i="4"/>
  <c r="R52" i="4"/>
  <c r="R135" i="4"/>
  <c r="K135" i="4"/>
  <c r="K52" i="4"/>
  <c r="M135" i="4"/>
  <c r="M52" i="4"/>
  <c r="Q135" i="4"/>
  <c r="Q52" i="4"/>
  <c r="M123" i="4"/>
  <c r="Q125" i="4"/>
  <c r="P124" i="4"/>
  <c r="P123" i="4"/>
  <c r="R109" i="12" l="1"/>
  <c r="R115" i="12" s="1"/>
  <c r="R119" i="12" s="1"/>
  <c r="R127" i="12" s="1"/>
  <c r="R106" i="12"/>
  <c r="Q142" i="11"/>
  <c r="Q108" i="11"/>
  <c r="Q114" i="11"/>
  <c r="Q18" i="11"/>
  <c r="Q31" i="11" s="1"/>
  <c r="R94" i="11"/>
  <c r="R27" i="11"/>
  <c r="R57" i="11"/>
  <c r="R73" i="11" s="1"/>
  <c r="R87" i="11"/>
  <c r="R95" i="11" s="1"/>
  <c r="Q109" i="11"/>
  <c r="Q115" i="11" s="1"/>
  <c r="Q119" i="11" s="1"/>
  <c r="Q127" i="11" s="1"/>
  <c r="Q106" i="11"/>
  <c r="P106" i="10"/>
  <c r="P109" i="10"/>
  <c r="P115" i="10" s="1"/>
  <c r="P119" i="10" s="1"/>
  <c r="P127" i="10" s="1"/>
  <c r="Q87" i="10"/>
  <c r="Q95" i="10" s="1"/>
  <c r="Q57" i="10"/>
  <c r="Q73" i="10" s="1"/>
  <c r="R32" i="10"/>
  <c r="P87" i="9"/>
  <c r="P95" i="9" s="1"/>
  <c r="P57" i="9"/>
  <c r="P73" i="9" s="1"/>
  <c r="Q32" i="9"/>
  <c r="O109" i="9"/>
  <c r="O115" i="9" s="1"/>
  <c r="O119" i="9" s="1"/>
  <c r="O127" i="9" s="1"/>
  <c r="O106" i="9"/>
  <c r="Q32" i="8"/>
  <c r="P87" i="8"/>
  <c r="P95" i="8" s="1"/>
  <c r="P57" i="8"/>
  <c r="P73" i="8" s="1"/>
  <c r="O109" i="8"/>
  <c r="O115" i="8" s="1"/>
  <c r="O119" i="8" s="1"/>
  <c r="O127" i="8" s="1"/>
  <c r="O106" i="8"/>
  <c r="O29" i="7"/>
  <c r="N27" i="7"/>
  <c r="N94" i="7"/>
  <c r="N109" i="7"/>
  <c r="N115" i="7" s="1"/>
  <c r="N119" i="7" s="1"/>
  <c r="N127" i="7" s="1"/>
  <c r="N106" i="7"/>
  <c r="M142" i="7"/>
  <c r="M108" i="7"/>
  <c r="M114" i="7"/>
  <c r="M18" i="7"/>
  <c r="M31" i="7" s="1"/>
  <c r="M125" i="7"/>
  <c r="O87" i="7"/>
  <c r="O95" i="7" s="1"/>
  <c r="O57" i="7"/>
  <c r="O73" i="7" s="1"/>
  <c r="P32" i="7"/>
  <c r="P57" i="6"/>
  <c r="P73" i="6" s="1"/>
  <c r="P87" i="6"/>
  <c r="P95" i="6" s="1"/>
  <c r="Q32" i="6"/>
  <c r="O109" i="6"/>
  <c r="O115" i="6" s="1"/>
  <c r="O119" i="6" s="1"/>
  <c r="O127" i="6" s="1"/>
  <c r="O106" i="6"/>
  <c r="L87" i="4"/>
  <c r="L95" i="4" s="1"/>
  <c r="L57" i="4"/>
  <c r="L73" i="4" s="1"/>
  <c r="M32" i="4"/>
  <c r="K109" i="4"/>
  <c r="K115" i="4" s="1"/>
  <c r="K119" i="4" s="1"/>
  <c r="K127" i="4" s="1"/>
  <c r="K106" i="4"/>
  <c r="R109" i="11" l="1"/>
  <c r="R115" i="11" s="1"/>
  <c r="R119" i="11" s="1"/>
  <c r="R127" i="11" s="1"/>
  <c r="R106" i="11"/>
  <c r="R142" i="11"/>
  <c r="R108" i="11"/>
  <c r="R114" i="11"/>
  <c r="R18" i="11"/>
  <c r="R31" i="11" s="1"/>
  <c r="Q109" i="10"/>
  <c r="Q115" i="10" s="1"/>
  <c r="Q119" i="10" s="1"/>
  <c r="Q127" i="10" s="1"/>
  <c r="Q106" i="10"/>
  <c r="R87" i="10"/>
  <c r="R95" i="10" s="1"/>
  <c r="R57" i="10"/>
  <c r="R73" i="10" s="1"/>
  <c r="Q57" i="9"/>
  <c r="Q73" i="9" s="1"/>
  <c r="Q87" i="9"/>
  <c r="Q95" i="9" s="1"/>
  <c r="R32" i="9"/>
  <c r="P109" i="9"/>
  <c r="P115" i="9" s="1"/>
  <c r="P119" i="9" s="1"/>
  <c r="P127" i="9" s="1"/>
  <c r="P106" i="9"/>
  <c r="P109" i="8"/>
  <c r="P115" i="8" s="1"/>
  <c r="P119" i="8" s="1"/>
  <c r="P127" i="8" s="1"/>
  <c r="P106" i="8"/>
  <c r="Q87" i="8"/>
  <c r="Q95" i="8" s="1"/>
  <c r="Q57" i="8"/>
  <c r="Q73" i="8" s="1"/>
  <c r="R32" i="8"/>
  <c r="P87" i="7"/>
  <c r="P95" i="7" s="1"/>
  <c r="Q32" i="7"/>
  <c r="P57" i="7"/>
  <c r="P73" i="7" s="1"/>
  <c r="O94" i="7"/>
  <c r="P29" i="7"/>
  <c r="O27" i="7"/>
  <c r="O109" i="7"/>
  <c r="O115" i="7" s="1"/>
  <c r="O119" i="7" s="1"/>
  <c r="O127" i="7" s="1"/>
  <c r="O106" i="7"/>
  <c r="N142" i="7"/>
  <c r="N114" i="7"/>
  <c r="N108" i="7"/>
  <c r="N18" i="7"/>
  <c r="N31" i="7" s="1"/>
  <c r="N125" i="7"/>
  <c r="Q87" i="6"/>
  <c r="Q95" i="6" s="1"/>
  <c r="R32" i="6"/>
  <c r="Q57" i="6"/>
  <c r="Q73" i="6" s="1"/>
  <c r="P109" i="6"/>
  <c r="P115" i="6" s="1"/>
  <c r="P119" i="6" s="1"/>
  <c r="P127" i="6" s="1"/>
  <c r="P106" i="6"/>
  <c r="N32" i="4"/>
  <c r="M87" i="4"/>
  <c r="M95" i="4" s="1"/>
  <c r="M57" i="4"/>
  <c r="M73" i="4" s="1"/>
  <c r="L109" i="4"/>
  <c r="L115" i="4" s="1"/>
  <c r="L119" i="4" s="1"/>
  <c r="L127" i="4" s="1"/>
  <c r="L106" i="4"/>
  <c r="R106" i="10" l="1"/>
  <c r="R109" i="10"/>
  <c r="R115" i="10" s="1"/>
  <c r="R119" i="10" s="1"/>
  <c r="R127" i="10" s="1"/>
  <c r="Q109" i="9"/>
  <c r="Q115" i="9" s="1"/>
  <c r="Q119" i="9" s="1"/>
  <c r="Q127" i="9" s="1"/>
  <c r="Q106" i="9"/>
  <c r="R87" i="9"/>
  <c r="R95" i="9" s="1"/>
  <c r="R57" i="9"/>
  <c r="R73" i="9" s="1"/>
  <c r="R57" i="8"/>
  <c r="R73" i="8" s="1"/>
  <c r="R87" i="8"/>
  <c r="R95" i="8" s="1"/>
  <c r="Q106" i="8"/>
  <c r="Q109" i="8"/>
  <c r="Q115" i="8" s="1"/>
  <c r="Q119" i="8" s="1"/>
  <c r="Q127" i="8" s="1"/>
  <c r="P94" i="7"/>
  <c r="P27" i="7"/>
  <c r="Q29" i="7"/>
  <c r="P109" i="7"/>
  <c r="P115" i="7" s="1"/>
  <c r="P119" i="7" s="1"/>
  <c r="P127" i="7" s="1"/>
  <c r="P106" i="7"/>
  <c r="O142" i="7"/>
  <c r="O108" i="7"/>
  <c r="O114" i="7"/>
  <c r="O18" i="7"/>
  <c r="O31" i="7" s="1"/>
  <c r="O125" i="7"/>
  <c r="R32" i="7"/>
  <c r="Q57" i="7"/>
  <c r="Q73" i="7" s="1"/>
  <c r="Q87" i="7"/>
  <c r="Q95" i="7" s="1"/>
  <c r="R57" i="6"/>
  <c r="R73" i="6" s="1"/>
  <c r="R87" i="6"/>
  <c r="R95" i="6" s="1"/>
  <c r="Q109" i="6"/>
  <c r="Q115" i="6" s="1"/>
  <c r="Q119" i="6" s="1"/>
  <c r="Q127" i="6" s="1"/>
  <c r="Q106" i="6"/>
  <c r="O32" i="4"/>
  <c r="N87" i="4"/>
  <c r="N95" i="4" s="1"/>
  <c r="N57" i="4"/>
  <c r="N73" i="4" s="1"/>
  <c r="M106" i="4"/>
  <c r="M109" i="4"/>
  <c r="M115" i="4" s="1"/>
  <c r="M119" i="4" s="1"/>
  <c r="M127" i="4" s="1"/>
  <c r="R106" i="9" l="1"/>
  <c r="R109" i="9"/>
  <c r="R115" i="9" s="1"/>
  <c r="R119" i="9" s="1"/>
  <c r="R127" i="9" s="1"/>
  <c r="R106" i="8"/>
  <c r="R109" i="8"/>
  <c r="R115" i="8" s="1"/>
  <c r="R119" i="8" s="1"/>
  <c r="R127" i="8" s="1"/>
  <c r="Q106" i="7"/>
  <c r="Q109" i="7"/>
  <c r="Q115" i="7" s="1"/>
  <c r="Q119" i="7" s="1"/>
  <c r="Q127" i="7" s="1"/>
  <c r="Q94" i="7"/>
  <c r="Q27" i="7"/>
  <c r="R29" i="7"/>
  <c r="R57" i="7"/>
  <c r="R73" i="7" s="1"/>
  <c r="R87" i="7"/>
  <c r="R95" i="7" s="1"/>
  <c r="P142" i="7"/>
  <c r="P114" i="7"/>
  <c r="P108" i="7"/>
  <c r="P18" i="7"/>
  <c r="P31" i="7" s="1"/>
  <c r="P125" i="7"/>
  <c r="R109" i="6"/>
  <c r="R115" i="6" s="1"/>
  <c r="R119" i="6" s="1"/>
  <c r="R127" i="6" s="1"/>
  <c r="R106" i="6"/>
  <c r="P32" i="4"/>
  <c r="O87" i="4"/>
  <c r="O95" i="4" s="1"/>
  <c r="O57" i="4"/>
  <c r="O73" i="4" s="1"/>
  <c r="N109" i="4"/>
  <c r="N115" i="4" s="1"/>
  <c r="N119" i="4" s="1"/>
  <c r="N127" i="4" s="1"/>
  <c r="N106" i="4"/>
  <c r="Q142" i="7" l="1"/>
  <c r="Q108" i="7"/>
  <c r="Q114" i="7"/>
  <c r="Q18" i="7"/>
  <c r="Q31" i="7" s="1"/>
  <c r="Q125" i="7"/>
  <c r="R109" i="7"/>
  <c r="R115" i="7" s="1"/>
  <c r="R119" i="7" s="1"/>
  <c r="R127" i="7" s="1"/>
  <c r="R106" i="7"/>
  <c r="R94" i="7"/>
  <c r="R27" i="7"/>
  <c r="O109" i="4"/>
  <c r="O115" i="4" s="1"/>
  <c r="O119" i="4" s="1"/>
  <c r="O127" i="4" s="1"/>
  <c r="O106" i="4"/>
  <c r="P87" i="4"/>
  <c r="P95" i="4" s="1"/>
  <c r="P57" i="4"/>
  <c r="P73" i="4" s="1"/>
  <c r="Q32" i="4"/>
  <c r="R142" i="7" l="1"/>
  <c r="R114" i="7"/>
  <c r="R108" i="7"/>
  <c r="R18" i="7"/>
  <c r="R31" i="7" s="1"/>
  <c r="R125" i="7"/>
  <c r="P106" i="4"/>
  <c r="P109" i="4"/>
  <c r="P115" i="4" s="1"/>
  <c r="P119" i="4" s="1"/>
  <c r="P127" i="4" s="1"/>
  <c r="Q87" i="4"/>
  <c r="Q95" i="4" s="1"/>
  <c r="Q57" i="4"/>
  <c r="Q73" i="4" s="1"/>
  <c r="R32" i="4"/>
  <c r="R87" i="4" l="1"/>
  <c r="R95" i="4" s="1"/>
  <c r="R57" i="4"/>
  <c r="R73" i="4" s="1"/>
  <c r="Q106" i="4"/>
  <c r="Q109" i="4"/>
  <c r="Q115" i="4" s="1"/>
  <c r="Q119" i="4" s="1"/>
  <c r="Q127" i="4" s="1"/>
  <c r="R109" i="4" l="1"/>
  <c r="R115" i="4" s="1"/>
  <c r="R119" i="4" s="1"/>
  <c r="R127" i="4" s="1"/>
  <c r="R106" i="4"/>
</calcChain>
</file>

<file path=xl/comments1.xml><?xml version="1.0" encoding="utf-8"?>
<comments xmlns="http://schemas.openxmlformats.org/spreadsheetml/2006/main">
  <authors>
    <author>Tiina Rüngas</author>
  </authors>
  <commentList>
    <comment ref="H2" authorId="0">
      <text>
        <r>
          <rPr>
            <b/>
            <sz val="9"/>
            <color indexed="81"/>
            <rFont val="Tahoma"/>
            <charset val="186"/>
          </rPr>
          <t>Tiina Rüngas:</t>
        </r>
        <r>
          <rPr>
            <sz val="9"/>
            <color indexed="81"/>
            <rFont val="Tahoma"/>
            <charset val="186"/>
          </rPr>
          <t xml:space="preserve">
SA Eesti Kunstimuuseum alates 01.08.2016</t>
        </r>
      </text>
    </comment>
    <comment ref="N36" authorId="0">
      <text>
        <r>
          <rPr>
            <b/>
            <sz val="9"/>
            <color indexed="81"/>
            <rFont val="Tahoma"/>
            <charset val="186"/>
          </rPr>
          <t>Tiina Rüngas:</t>
        </r>
        <r>
          <rPr>
            <sz val="9"/>
            <color indexed="81"/>
            <rFont val="Tahoma"/>
            <charset val="186"/>
          </rPr>
          <t xml:space="preserve">
1681 RKAS vahendid
3074 tegevustoetus
433 toetused</t>
        </r>
      </text>
    </comment>
    <comment ref="O36" authorId="0">
      <text>
        <r>
          <rPr>
            <b/>
            <sz val="9"/>
            <color indexed="81"/>
            <rFont val="Tahoma"/>
            <charset val="186"/>
          </rPr>
          <t>Tiina Rüngas:</t>
        </r>
        <r>
          <rPr>
            <sz val="9"/>
            <color indexed="81"/>
            <rFont val="Tahoma"/>
            <charset val="186"/>
          </rPr>
          <t xml:space="preserve">
1681 RKAS vahendid
3423 tegevustoetus
363 toetused</t>
        </r>
      </text>
    </comment>
    <comment ref="P36" authorId="0">
      <text>
        <r>
          <rPr>
            <b/>
            <sz val="9"/>
            <color indexed="81"/>
            <rFont val="Tahoma"/>
            <charset val="186"/>
          </rPr>
          <t>Tiina Rüngas:</t>
        </r>
        <r>
          <rPr>
            <sz val="9"/>
            <color indexed="81"/>
            <rFont val="Tahoma"/>
            <charset val="186"/>
          </rPr>
          <t xml:space="preserve">
1681 RKAS vahendid
4125 tegevustoetus
200 toetused</t>
        </r>
      </text>
    </comment>
    <comment ref="Q36" authorId="0">
      <text>
        <r>
          <rPr>
            <b/>
            <sz val="9"/>
            <color indexed="81"/>
            <rFont val="Tahoma"/>
            <charset val="186"/>
          </rPr>
          <t>Tiina Rüngas:</t>
        </r>
        <r>
          <rPr>
            <sz val="9"/>
            <color indexed="81"/>
            <rFont val="Tahoma"/>
            <charset val="186"/>
          </rPr>
          <t xml:space="preserve">
1681 RKAS vahendid
4006 tegevustoetus
200 toetused</t>
        </r>
      </text>
    </comment>
  </commentList>
</comments>
</file>

<file path=xl/comments2.xml><?xml version="1.0" encoding="utf-8"?>
<comments xmlns="http://schemas.openxmlformats.org/spreadsheetml/2006/main">
  <authors>
    <author>Pearaamat</author>
  </authors>
  <commentList>
    <comment ref="P14" authorId="0">
      <text>
        <r>
          <rPr>
            <b/>
            <sz val="9"/>
            <color indexed="81"/>
            <rFont val="Tahoma"/>
          </rPr>
          <t>Pearaamat:</t>
        </r>
        <r>
          <rPr>
            <sz val="9"/>
            <color indexed="81"/>
            <rFont val="Tahoma"/>
          </rPr>
          <t xml:space="preserve">
Punasemaja renoveerimine-lõpetamata ehitus</t>
        </r>
      </text>
    </comment>
    <comment ref="N15" authorId="0">
      <text>
        <r>
          <rPr>
            <b/>
            <sz val="9"/>
            <color indexed="81"/>
            <rFont val="Tahoma"/>
          </rPr>
          <t>Pearaamat:</t>
        </r>
        <r>
          <rPr>
            <sz val="9"/>
            <color indexed="81"/>
            <rFont val="Tahoma"/>
          </rPr>
          <t xml:space="preserve">
6973-180+44</t>
        </r>
      </text>
    </comment>
    <comment ref="O15" authorId="0">
      <text>
        <r>
          <rPr>
            <b/>
            <sz val="9"/>
            <color indexed="81"/>
            <rFont val="Tahoma"/>
          </rPr>
          <t>Pearaamat:</t>
        </r>
        <r>
          <rPr>
            <sz val="9"/>
            <color indexed="81"/>
            <rFont val="Tahoma"/>
          </rPr>
          <t xml:space="preserve">
6837-187+20</t>
        </r>
      </text>
    </comment>
    <comment ref="P15" authorId="0">
      <text>
        <r>
          <rPr>
            <b/>
            <sz val="9"/>
            <color indexed="81"/>
            <rFont val="Tahoma"/>
          </rPr>
          <t>Pearaamat:
6670-182+19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Pearaamat:</t>
        </r>
        <r>
          <rPr>
            <sz val="9"/>
            <color indexed="81"/>
            <rFont val="Tahoma"/>
            <family val="2"/>
          </rPr>
          <t xml:space="preserve">
6507+613-200</t>
        </r>
      </text>
    </comment>
    <comment ref="N20" authorId="0">
      <text>
        <r>
          <rPr>
            <b/>
            <sz val="9"/>
            <color indexed="81"/>
            <rFont val="Tahoma"/>
          </rPr>
          <t>Pearaamat:</t>
        </r>
        <r>
          <rPr>
            <sz val="9"/>
            <color indexed="81"/>
            <rFont val="Tahoma"/>
          </rPr>
          <t xml:space="preserve">
336 + laenu lüh.osa 360</t>
        </r>
      </text>
    </comment>
    <comment ref="O20" authorId="0">
      <text>
        <r>
          <rPr>
            <b/>
            <sz val="9"/>
            <color indexed="81"/>
            <rFont val="Tahoma"/>
          </rPr>
          <t>Pearaamat:</t>
        </r>
        <r>
          <rPr>
            <sz val="9"/>
            <color indexed="81"/>
            <rFont val="Tahoma"/>
          </rPr>
          <t xml:space="preserve">
368 lenu lüh.osa+173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Pearaamat:</t>
        </r>
        <r>
          <rPr>
            <sz val="9"/>
            <color indexed="81"/>
            <rFont val="Tahoma"/>
            <family val="2"/>
          </rPr>
          <t xml:space="preserve">
1818+613</t>
        </r>
      </text>
    </comment>
    <comment ref="N58" authorId="0">
      <text>
        <r>
          <rPr>
            <b/>
            <sz val="9"/>
            <color indexed="81"/>
            <rFont val="Tahoma"/>
          </rPr>
          <t>Pearaamat:</t>
        </r>
        <r>
          <rPr>
            <sz val="9"/>
            <color indexed="81"/>
            <rFont val="Tahoma"/>
          </rPr>
          <t xml:space="preserve">
Tõstuk 8000
Auto liising 7000</t>
        </r>
      </text>
    </comment>
    <comment ref="O58" authorId="0">
      <text>
        <r>
          <rPr>
            <b/>
            <sz val="9"/>
            <color indexed="81"/>
            <rFont val="Tahoma"/>
          </rPr>
          <t>Pearaamat:</t>
        </r>
        <r>
          <rPr>
            <sz val="9"/>
            <color indexed="81"/>
            <rFont val="Tahoma"/>
          </rPr>
          <t xml:space="preserve">
PV ubmes 20000+7000liising</t>
        </r>
      </text>
    </comment>
  </commentList>
</comments>
</file>

<file path=xl/sharedStrings.xml><?xml version="1.0" encoding="utf-8"?>
<sst xmlns="http://schemas.openxmlformats.org/spreadsheetml/2006/main" count="13500" uniqueCount="511">
  <si>
    <t>juhend</t>
  </si>
  <si>
    <t>rida</t>
  </si>
  <si>
    <t>konto: liik/klass/rühm, grupp</t>
  </si>
  <si>
    <t>märk</t>
  </si>
  <si>
    <t>TP011307</t>
  </si>
  <si>
    <t>UNESCO Eesti RK SA</t>
  </si>
  <si>
    <t>Täitja: nimi, telefon</t>
  </si>
  <si>
    <t>BILANSS, tuh EUR</t>
  </si>
  <si>
    <t>B1</t>
  </si>
  <si>
    <t>VARAD</t>
  </si>
  <si>
    <t>B2</t>
  </si>
  <si>
    <t>KÄIBEVARA</t>
  </si>
  <si>
    <t>B3</t>
  </si>
  <si>
    <t>100+101</t>
  </si>
  <si>
    <t>+</t>
  </si>
  <si>
    <t>Raha ja finantsinvesteeringud</t>
  </si>
  <si>
    <t>B4</t>
  </si>
  <si>
    <t>102+103</t>
  </si>
  <si>
    <t>Nõuded ja ettemaksed</t>
  </si>
  <si>
    <t>B5</t>
  </si>
  <si>
    <t>106+107</t>
  </si>
  <si>
    <t>Immateriaalne käibevara ja bioloogiline vara</t>
  </si>
  <si>
    <t>B6</t>
  </si>
  <si>
    <t>Varud</t>
  </si>
  <si>
    <t>B7</t>
  </si>
  <si>
    <t>PÕHIVARA</t>
  </si>
  <si>
    <t>B8</t>
  </si>
  <si>
    <t>Osalused avalikus sektoris</t>
  </si>
  <si>
    <t>B9</t>
  </si>
  <si>
    <t>Pikaajalised finantsinvesteeringud</t>
  </si>
  <si>
    <t>B10</t>
  </si>
  <si>
    <t>152+153</t>
  </si>
  <si>
    <t>Pikaajalised nõuded ja ettemaksed</t>
  </si>
  <si>
    <t>B11</t>
  </si>
  <si>
    <t>Kinnisvara</t>
  </si>
  <si>
    <t>B12</t>
  </si>
  <si>
    <t>155+156</t>
  </si>
  <si>
    <t>Materiaalne ja immateriaalne põhivara</t>
  </si>
  <si>
    <t>B13</t>
  </si>
  <si>
    <t>Bioloogilised varad</t>
  </si>
  <si>
    <t>B14</t>
  </si>
  <si>
    <t>1032+1532; eristus</t>
  </si>
  <si>
    <t>Laenu- ja liisingnõuded kokku</t>
  </si>
  <si>
    <t>B15</t>
  </si>
  <si>
    <t>KOHUSTUSED JA NETOVARA</t>
  </si>
  <si>
    <t>B16</t>
  </si>
  <si>
    <t>20+25+28</t>
  </si>
  <si>
    <t>KOHUSTUSED</t>
  </si>
  <si>
    <t>B17</t>
  </si>
  <si>
    <t>20; eristus</t>
  </si>
  <si>
    <t>Lühiajalised kohustised kokku</t>
  </si>
  <si>
    <t>B18</t>
  </si>
  <si>
    <t>200+201+202+203+250+253</t>
  </si>
  <si>
    <t>Võlad ja ettemaksed</t>
  </si>
  <si>
    <t>B19</t>
  </si>
  <si>
    <t>206+256</t>
  </si>
  <si>
    <t>Eraldised</t>
  </si>
  <si>
    <t>B20</t>
  </si>
  <si>
    <t>Sihtfinantseerimine</t>
  </si>
  <si>
    <t>B21</t>
  </si>
  <si>
    <t>208+258</t>
  </si>
  <si>
    <t>Laenukohustused</t>
  </si>
  <si>
    <t>B22</t>
  </si>
  <si>
    <t>209+259</t>
  </si>
  <si>
    <t>Tuletisinstrumendid</t>
  </si>
  <si>
    <t>B23</t>
  </si>
  <si>
    <t>VÄHEMUSOSA</t>
  </si>
  <si>
    <t>B24</t>
  </si>
  <si>
    <t>NETOVARA</t>
  </si>
  <si>
    <t>B25</t>
  </si>
  <si>
    <t>290+291+292+297</t>
  </si>
  <si>
    <t>Kapital ja reservid</t>
  </si>
  <si>
    <t>B26</t>
  </si>
  <si>
    <t>Akumuleeritud tulem</t>
  </si>
  <si>
    <t>B27</t>
  </si>
  <si>
    <r>
      <t xml:space="preserve">+ /  </t>
    </r>
    <r>
      <rPr>
        <b/>
        <sz val="9"/>
        <rFont val="Calibri"/>
        <family val="2"/>
        <charset val="186"/>
      </rPr>
      <t>̶</t>
    </r>
  </si>
  <si>
    <t>Aruandeperioodi tulem</t>
  </si>
  <si>
    <t>kontroll: Bilansi tasakaal:peab = 0!</t>
  </si>
  <si>
    <t>TULEMIARUANNE, tuh EUR</t>
  </si>
  <si>
    <t>T1</t>
  </si>
  <si>
    <t>TEGEVUSTULUD</t>
  </si>
  <si>
    <t>T2</t>
  </si>
  <si>
    <t>MAKSU- JA KINDLUSTUSTULU</t>
  </si>
  <si>
    <t>T3</t>
  </si>
  <si>
    <t>KAUPADE JA TEENUSTE MÜÜK</t>
  </si>
  <si>
    <t>T4</t>
  </si>
  <si>
    <t xml:space="preserve">SAADUD TOETUSED </t>
  </si>
  <si>
    <t>T5</t>
  </si>
  <si>
    <t>MUUD TULUD</t>
  </si>
  <si>
    <t>T6</t>
  </si>
  <si>
    <t xml:space="preserve">ANTUD TOETUSED </t>
  </si>
  <si>
    <t>T7</t>
  </si>
  <si>
    <r>
      <t xml:space="preserve">  </t>
    </r>
    <r>
      <rPr>
        <b/>
        <sz val="9"/>
        <rFont val="Calibri"/>
        <family val="2"/>
        <charset val="186"/>
      </rPr>
      <t>̶</t>
    </r>
  </si>
  <si>
    <t>Sotsiaaltoetused</t>
  </si>
  <si>
    <t>T8</t>
  </si>
  <si>
    <t>Muud toetused</t>
  </si>
  <si>
    <t>T9</t>
  </si>
  <si>
    <t>5+6</t>
  </si>
  <si>
    <t>TEGEVUSKULUD</t>
  </si>
  <si>
    <t>T10</t>
  </si>
  <si>
    <t>Tööjõukulud</t>
  </si>
  <si>
    <t>T11</t>
  </si>
  <si>
    <t>Majandamiskulud</t>
  </si>
  <si>
    <t>T12</t>
  </si>
  <si>
    <t>Muud tegevuskulud (maksud, AH)</t>
  </si>
  <si>
    <t>T13</t>
  </si>
  <si>
    <t>Põhivara kulum ja ümberhindlus</t>
  </si>
  <si>
    <t>T14</t>
  </si>
  <si>
    <t>TEGEVUSTULEM</t>
  </si>
  <si>
    <t>T15</t>
  </si>
  <si>
    <t>Finantstulu ja -kulu</t>
  </si>
  <si>
    <t>T16</t>
  </si>
  <si>
    <t>MAJANDUSTULEM</t>
  </si>
  <si>
    <t>T17</t>
  </si>
  <si>
    <t>Ettevõtja tulumaks</t>
  </si>
  <si>
    <t>T18</t>
  </si>
  <si>
    <t>Vähemusosale kuuluv kasum/kahjum</t>
  </si>
  <si>
    <t>T19</t>
  </si>
  <si>
    <t>ARUANDEPERIOODI TULEM</t>
  </si>
  <si>
    <t>kontroll: Tulem OK: peab = 0!</t>
  </si>
  <si>
    <t>TÄIENDAV INFO</t>
  </si>
  <si>
    <t>Töötajate keskmine arv</t>
  </si>
  <si>
    <t>Turuosa</t>
  </si>
  <si>
    <t>käive</t>
  </si>
  <si>
    <t>INVESTEERIMISTEGEVUS, tuh EUR</t>
  </si>
  <si>
    <t>I1</t>
  </si>
  <si>
    <t>154+155+156+157</t>
  </si>
  <si>
    <t xml:space="preserve">DT </t>
  </si>
  <si>
    <t>Põhivara soetus, tasumine</t>
  </si>
  <si>
    <t>I2</t>
  </si>
  <si>
    <t>15+381</t>
  </si>
  <si>
    <t xml:space="preserve">CT </t>
  </si>
  <si>
    <t>Põhivara müük - laekumine</t>
  </si>
  <si>
    <t>I3</t>
  </si>
  <si>
    <t>3502</t>
  </si>
  <si>
    <t>CT</t>
  </si>
  <si>
    <t>Saadud SF - PV soetus</t>
  </si>
  <si>
    <t>I4</t>
  </si>
  <si>
    <t>4502</t>
  </si>
  <si>
    <t>DT</t>
  </si>
  <si>
    <t>Antud SF - PV soetus</t>
  </si>
  <si>
    <t>I5</t>
  </si>
  <si>
    <t>Saadud liitumistasud</t>
  </si>
  <si>
    <t>I6</t>
  </si>
  <si>
    <t>Osaluste soetus</t>
  </si>
  <si>
    <t>I7</t>
  </si>
  <si>
    <t>150</t>
  </si>
  <si>
    <t>Osaluste müük</t>
  </si>
  <si>
    <t>I8</t>
  </si>
  <si>
    <t>101900+151910</t>
  </si>
  <si>
    <t>Muude aktsiate ja osade soetus</t>
  </si>
  <si>
    <t>I9</t>
  </si>
  <si>
    <t>Muude aktsiate ja osade müük</t>
  </si>
  <si>
    <t>I10</t>
  </si>
  <si>
    <t>1032+1532</t>
  </si>
  <si>
    <t>Antud laenud</t>
  </si>
  <si>
    <t>I11</t>
  </si>
  <si>
    <t>Tagasilaekunud laenud</t>
  </si>
  <si>
    <t>I12</t>
  </si>
  <si>
    <t>Dividendid - laekumine</t>
  </si>
  <si>
    <t>I13</t>
  </si>
  <si>
    <t>65, v.a. mitterahaline: 652000, 652030, 655400, 655410</t>
  </si>
  <si>
    <t>I14</t>
  </si>
  <si>
    <t>Kokku</t>
  </si>
  <si>
    <t>FINANTSEERIMISTEGEVUS, tuh EUR</t>
  </si>
  <si>
    <t>F1</t>
  </si>
  <si>
    <t>2080+2580</t>
  </si>
  <si>
    <t>Võlakirjade emiteerimine</t>
  </si>
  <si>
    <t>F2</t>
  </si>
  <si>
    <t>Võlakirjade lunastamine</t>
  </si>
  <si>
    <t>F3</t>
  </si>
  <si>
    <t>2081+2581</t>
  </si>
  <si>
    <t>Laenude võtmine</t>
  </si>
  <si>
    <t>F4</t>
  </si>
  <si>
    <t>Laenude tagasimaksmine</t>
  </si>
  <si>
    <t>F5</t>
  </si>
  <si>
    <t>2082+2582</t>
  </si>
  <si>
    <t>Kapitalirendikohustiste tasumine</t>
  </si>
  <si>
    <t>F6</t>
  </si>
  <si>
    <t>203200</t>
  </si>
  <si>
    <t>Viitvõlgade tasumine (intress jm)</t>
  </si>
  <si>
    <t>F7</t>
  </si>
  <si>
    <t>2083+2583</t>
  </si>
  <si>
    <t>Faktooringu tasumine</t>
  </si>
  <si>
    <t>F8</t>
  </si>
  <si>
    <t>Eraldiste tasumine</t>
  </si>
  <si>
    <t>F9</t>
  </si>
  <si>
    <t>290+291</t>
  </si>
  <si>
    <t>Omakap sissemakse laekumine</t>
  </si>
  <si>
    <t>F10</t>
  </si>
  <si>
    <t>Omakap vähend, ka divid maksmine</t>
  </si>
  <si>
    <t>F11</t>
  </si>
  <si>
    <t>F12</t>
  </si>
  <si>
    <t>Standard</t>
  </si>
  <si>
    <t>positsioon ja tegevuse tulemlikkus</t>
  </si>
  <si>
    <t>6.4.</t>
  </si>
  <si>
    <t>A1</t>
  </si>
  <si>
    <t>T19+I14</t>
  </si>
  <si>
    <t>positsioon (puudujääk/ülejääk)</t>
  </si>
  <si>
    <t>6.5.1.</t>
  </si>
  <si>
    <t>A2</t>
  </si>
  <si>
    <t>T1+T6+T9-T13</t>
  </si>
  <si>
    <t>rahaline ärikasum e. tegevustulem (EBITDA)</t>
  </si>
  <si>
    <t>6.5.2.</t>
  </si>
  <si>
    <t>A3</t>
  </si>
  <si>
    <t>A2/T1</t>
  </si>
  <si>
    <t>rahaline kasumlikkus</t>
  </si>
  <si>
    <t>6.5.3.</t>
  </si>
  <si>
    <t>A4</t>
  </si>
  <si>
    <t>-T1/(T6+T9)</t>
  </si>
  <si>
    <t>kulu kattekordaja</t>
  </si>
  <si>
    <t>6.5.4.</t>
  </si>
  <si>
    <t>A5</t>
  </si>
  <si>
    <t xml:space="preserve">T14 </t>
  </si>
  <si>
    <t>tegevustulem</t>
  </si>
  <si>
    <t>6.5.5.</t>
  </si>
  <si>
    <t>A6</t>
  </si>
  <si>
    <t>T14/T1</t>
  </si>
  <si>
    <t>tegevustulemi puudujäägi ulatus</t>
  </si>
  <si>
    <t>6.5.6.</t>
  </si>
  <si>
    <t>A7</t>
  </si>
  <si>
    <t>B26+B27</t>
  </si>
  <si>
    <t>tegevustulemi puudujäägi kate akumul tulemiga</t>
  </si>
  <si>
    <t>võlakohustised ja likviidsus</t>
  </si>
  <si>
    <t>6.6.1.</t>
  </si>
  <si>
    <t>A8</t>
  </si>
  <si>
    <t>B3+B9</t>
  </si>
  <si>
    <t>Likviidsed varad</t>
  </si>
  <si>
    <t>6.6.2.</t>
  </si>
  <si>
    <t>A9</t>
  </si>
  <si>
    <t xml:space="preserve">Võlakohustus </t>
  </si>
  <si>
    <t>6.6.3.</t>
  </si>
  <si>
    <t>A10</t>
  </si>
  <si>
    <t>A9--A8</t>
  </si>
  <si>
    <t>Neto-võlg=Võlakohustus--Likviidsed varad</t>
  </si>
  <si>
    <t>6.6.4.</t>
  </si>
  <si>
    <t>A11</t>
  </si>
  <si>
    <t>A10/T1</t>
  </si>
  <si>
    <t>Neto-Võlakoormus</t>
  </si>
  <si>
    <t>6.7.</t>
  </si>
  <si>
    <t>A12</t>
  </si>
  <si>
    <t>A10/A2</t>
  </si>
  <si>
    <t xml:space="preserve">võlakohustuste katteperiood </t>
  </si>
  <si>
    <t>6.8.1.</t>
  </si>
  <si>
    <t>A13</t>
  </si>
  <si>
    <t>F2+F4+F5+F6+F7+F8</t>
  </si>
  <si>
    <t>aastane finantskohustis</t>
  </si>
  <si>
    <t>6.8.2.</t>
  </si>
  <si>
    <t>A14</t>
  </si>
  <si>
    <t>A2/A13</t>
  </si>
  <si>
    <t>fin-kohustise kattekordaja (DSCR)</t>
  </si>
  <si>
    <t>6.9.1.</t>
  </si>
  <si>
    <t>A15</t>
  </si>
  <si>
    <t>B2--B17</t>
  </si>
  <si>
    <t>käibekapital=käibevara--lühikohustis</t>
  </si>
  <si>
    <t>6.9.2.</t>
  </si>
  <si>
    <t>A16</t>
  </si>
  <si>
    <t>B2/B17</t>
  </si>
  <si>
    <t>lühikohustise kattekordaja</t>
  </si>
  <si>
    <t>6.9.3.</t>
  </si>
  <si>
    <t>A17</t>
  </si>
  <si>
    <t>-B3/((T6+T9-T13+T15)/12)</t>
  </si>
  <si>
    <t>1 kuu kulude kattevõime aastalõpu rahaga</t>
  </si>
  <si>
    <t>antud laenumahu riskisus</t>
  </si>
  <si>
    <t>6.10.1.</t>
  </si>
  <si>
    <t>A18</t>
  </si>
  <si>
    <t>B14/B1</t>
  </si>
  <si>
    <t>laenuportfelli osakaal varades</t>
  </si>
  <si>
    <t>6.10.2.</t>
  </si>
  <si>
    <t>A19</t>
  </si>
  <si>
    <t>B24/B14</t>
  </si>
  <si>
    <t>kapitali adekvaatsus</t>
  </si>
  <si>
    <t>varade ja kapitali kasutamise efektiivsus</t>
  </si>
  <si>
    <t>6.11.1.</t>
  </si>
  <si>
    <t>A20</t>
  </si>
  <si>
    <t>B7/B1</t>
  </si>
  <si>
    <t>põhivara osakaal varadest</t>
  </si>
  <si>
    <t>6.11.2.</t>
  </si>
  <si>
    <t>A21</t>
  </si>
  <si>
    <t>I1/B12</t>
  </si>
  <si>
    <t>mat pv inv osakaal mat põhivarast</t>
  </si>
  <si>
    <t>6.11.3.</t>
  </si>
  <si>
    <t>A22</t>
  </si>
  <si>
    <t>T1/B1</t>
  </si>
  <si>
    <t>varade kasutamise efektiivsus</t>
  </si>
  <si>
    <t>6.11.4.</t>
  </si>
  <si>
    <t>A23</t>
  </si>
  <si>
    <t>T1/B12</t>
  </si>
  <si>
    <t>mat pv kasutamise efektiivsus</t>
  </si>
  <si>
    <t>6.12.</t>
  </si>
  <si>
    <t>A24</t>
  </si>
  <si>
    <t>B24/B1</t>
  </si>
  <si>
    <t>omakap e. netovara kordaja</t>
  </si>
  <si>
    <t>omatulu ja toetused</t>
  </si>
  <si>
    <t>6.13.1.</t>
  </si>
  <si>
    <t>A25</t>
  </si>
  <si>
    <t>T3/T1</t>
  </si>
  <si>
    <t>omatulu=netokäibe osakaal kogutulust</t>
  </si>
  <si>
    <t>6.13.2.</t>
  </si>
  <si>
    <t>A26</t>
  </si>
  <si>
    <t>(T2+T4)/T1</t>
  </si>
  <si>
    <t>saadud toetuste osakaal tulus</t>
  </si>
  <si>
    <t>6.13.3.</t>
  </si>
  <si>
    <t>A27</t>
  </si>
  <si>
    <t>T6/(T6+T9)</t>
  </si>
  <si>
    <t>antud toetuste osakaal kogukulust</t>
  </si>
  <si>
    <t>tegevuse käive, kasumlikkus ja efektiivsus</t>
  </si>
  <si>
    <t>6.14.1.</t>
  </si>
  <si>
    <t>A28</t>
  </si>
  <si>
    <t>T3/B1</t>
  </si>
  <si>
    <t>N/A</t>
  </si>
  <si>
    <t>varade käibe efekt=netokäive/varad</t>
  </si>
  <si>
    <t>6.14.2.</t>
  </si>
  <si>
    <t>A29</t>
  </si>
  <si>
    <t>T3/B12</t>
  </si>
  <si>
    <t>pv käibe efekt=netokäive/mat+immat pv</t>
  </si>
  <si>
    <t>6.15.1.</t>
  </si>
  <si>
    <t>A30</t>
  </si>
  <si>
    <t>äritegevuse kasumlikkus</t>
  </si>
  <si>
    <t>6.15.2.</t>
  </si>
  <si>
    <t>A31</t>
  </si>
  <si>
    <t>T19/T1</t>
  </si>
  <si>
    <t>puhaskasumimäär</t>
  </si>
  <si>
    <t>6.15.3.</t>
  </si>
  <si>
    <t>A32</t>
  </si>
  <si>
    <t>T19/B1</t>
  </si>
  <si>
    <t>varade kasumlikkus (ROA)</t>
  </si>
  <si>
    <t>6.15.4.</t>
  </si>
  <si>
    <t>A33</t>
  </si>
  <si>
    <t>T19/B24</t>
  </si>
  <si>
    <t>omakapitali kasumlikkus (ROE)</t>
  </si>
  <si>
    <t>Tulud kokku</t>
  </si>
  <si>
    <t>sh müügitulu</t>
  </si>
  <si>
    <t>sh saadud toetused</t>
  </si>
  <si>
    <t>Kulud kokku</t>
  </si>
  <si>
    <t>sh tegevus- ja ülalpidamiskulu</t>
  </si>
  <si>
    <t>sh antud toetused</t>
  </si>
  <si>
    <t>Ärikasum</t>
  </si>
  <si>
    <t>Puhaskasum</t>
  </si>
  <si>
    <t>Varad kokku</t>
  </si>
  <si>
    <t>Käibevara</t>
  </si>
  <si>
    <t>Põhivara</t>
  </si>
  <si>
    <t>Kohustised kokku</t>
  </si>
  <si>
    <t>sh lühikohustised</t>
  </si>
  <si>
    <t>sh laenukohustised</t>
  </si>
  <si>
    <t>Omakapital e. netovara</t>
  </si>
  <si>
    <t>Riigieelarve seadus §10: Netovõlakoormuse lubatud piir: 40% sama eelarveaasta põhitegevuse tuludest. Ületamisel vajalik taotleda VV luba</t>
  </si>
  <si>
    <t>Rahandusministri määrus nr 29, 16.05.2012</t>
  </si>
  <si>
    <t>Kohaliku omavalitsuse üksuse ja kohaliku omavalitsuse üksuse arvestusüksuse finantsdistsipliini tagamise meetmete arvutusmetoodika</t>
  </si>
  <si>
    <t>Rahandusministri määrus nr 24, 01.07.2015</t>
  </si>
  <si>
    <t>Keskvalitsuse juriidilise isiku finantsplaanile esitatavad nõuded, finantsplaani esitamise kord ning põhitegevuse tulemi ja netovõlakoormuse arvestusmetoodika</t>
  </si>
  <si>
    <t>Ave Epner, tel 5167173</t>
  </si>
  <si>
    <t>TP011301</t>
  </si>
  <si>
    <t>Vanalinna Teatrimaja SA</t>
  </si>
  <si>
    <t>Marju Väli 66 78 789</t>
  </si>
  <si>
    <t>KULTUURIMINISTEERIUMI ASUTAJAÕIGUSTE TEOSTAMISE ARUANNE 2016. A KOHTA</t>
  </si>
  <si>
    <t>LISA</t>
  </si>
  <si>
    <t>Sihtasutuste finantseesmärkgid</t>
  </si>
  <si>
    <t>SISUKORD:</t>
  </si>
  <si>
    <t>1.</t>
  </si>
  <si>
    <t>Eesti Laulu- ja Tantsupeo Sihtasutus</t>
  </si>
  <si>
    <t>2.</t>
  </si>
  <si>
    <t>Integratsiooni Sihtasutus</t>
  </si>
  <si>
    <t>3.</t>
  </si>
  <si>
    <t>Sihtasutus A. H. Tammsaare Muuseum Vargamäel</t>
  </si>
  <si>
    <t>4.</t>
  </si>
  <si>
    <t>Sihtasutus Eesti Draamateater</t>
  </si>
  <si>
    <t>5.</t>
  </si>
  <si>
    <t>Sihtasutus Eesti Filharmoonia Kammerkoor</t>
  </si>
  <si>
    <t>6.</t>
  </si>
  <si>
    <t>Sihtasutus Eesti Filmi Instituut</t>
  </si>
  <si>
    <t>7.</t>
  </si>
  <si>
    <t>Sihtasutus Eesti Kontsert</t>
  </si>
  <si>
    <t>8.</t>
  </si>
  <si>
    <t>Sihtasutus Eesti Kunstimuuseum</t>
  </si>
  <si>
    <t>9.</t>
  </si>
  <si>
    <t>Sihtasutus Eesti Riiklik Sümfooniaorkester</t>
  </si>
  <si>
    <t>10.</t>
  </si>
  <si>
    <t>Sihtasutus Eesti Spordi- ja Olümpiamuuseum</t>
  </si>
  <si>
    <t>11.</t>
  </si>
  <si>
    <t>Sihtasutus Eesti Tervishoiu Muuseum</t>
  </si>
  <si>
    <t>12.</t>
  </si>
  <si>
    <t>Sihtasutus Eesti Vabaõhumuuseum</t>
  </si>
  <si>
    <t>13.</t>
  </si>
  <si>
    <t>Sihtasutus Endla Teater</t>
  </si>
  <si>
    <t>14.</t>
  </si>
  <si>
    <t>Sihtasutus Haapsalu ja Läänemaa Muuseumid</t>
  </si>
  <si>
    <t>15.</t>
  </si>
  <si>
    <t>Sihtasutus Hiiumaa Muuseumid</t>
  </si>
  <si>
    <t>16.</t>
  </si>
  <si>
    <t>Sihtaustus Jõulumäe Tervisespordikeskus</t>
  </si>
  <si>
    <t>17.</t>
  </si>
  <si>
    <t>Sihtasutus Kultuurileht</t>
  </si>
  <si>
    <t>18.</t>
  </si>
  <si>
    <t>Sihtasutus Narva Muuseum</t>
  </si>
  <si>
    <t>19.</t>
  </si>
  <si>
    <t>Sihtasutus NUKU</t>
  </si>
  <si>
    <t>20.</t>
  </si>
  <si>
    <t>Sihtasutus Pärnu Muuseum</t>
  </si>
  <si>
    <t>21.</t>
  </si>
  <si>
    <t>Sihtasutus Rakvere Teatrimaja</t>
  </si>
  <si>
    <t>22.</t>
  </si>
  <si>
    <t>Sihtasutus Tartu Jaani Kirik</t>
  </si>
  <si>
    <t>23.</t>
  </si>
  <si>
    <t>Sihtasutus Teater NO99</t>
  </si>
  <si>
    <t>24.</t>
  </si>
  <si>
    <t>Sihtasutus Teater Vanemuine</t>
  </si>
  <si>
    <t>25.</t>
  </si>
  <si>
    <t>Sihtasutus Tehvandi Spordikeskus</t>
  </si>
  <si>
    <t>26.</t>
  </si>
  <si>
    <t>Sihtasutus Ugala Teater</t>
  </si>
  <si>
    <t>27.</t>
  </si>
  <si>
    <t>Sihtasutus UNESCO Eesti Rahvuslik Komisjon</t>
  </si>
  <si>
    <t>28.</t>
  </si>
  <si>
    <t>Sihtasutus Vanalinna Teatrimaja</t>
  </si>
  <si>
    <t>29.</t>
  </si>
  <si>
    <t>Sihtasutus Vene Teater</t>
  </si>
  <si>
    <t>30.</t>
  </si>
  <si>
    <t>Sihtasutus Virumaa Muuseumid</t>
  </si>
  <si>
    <t>TP011313</t>
  </si>
  <si>
    <t>Silva Tigane  51 69 635 silva@tehvandi.ee</t>
  </si>
  <si>
    <t>TP011303</t>
  </si>
  <si>
    <t>Virumaa Muuseumid SA</t>
  </si>
  <si>
    <t>Rutt Somelar   tel.32 25508</t>
  </si>
  <si>
    <t>TP011321</t>
  </si>
  <si>
    <t>Narva Muuseum SA</t>
  </si>
  <si>
    <t>Annely Kaldäär 3599 246</t>
  </si>
  <si>
    <t>TP011309</t>
  </si>
  <si>
    <t>Eesti Draamateater SA</t>
  </si>
  <si>
    <r>
      <rPr>
        <b/>
        <i/>
        <sz val="9"/>
        <rFont val="Arial"/>
        <family val="2"/>
        <charset val="186"/>
      </rPr>
      <t xml:space="preserve">+ /  </t>
    </r>
    <r>
      <rPr>
        <b/>
        <sz val="9"/>
        <rFont val="Calibri"/>
        <family val="2"/>
        <charset val="186"/>
      </rPr>
      <t>̶</t>
    </r>
  </si>
  <si>
    <r>
      <rPr>
        <b/>
        <i/>
        <sz val="9"/>
        <rFont val="Arial"/>
        <family val="2"/>
        <charset val="186"/>
      </rPr>
      <t xml:space="preserve">  </t>
    </r>
    <r>
      <rPr>
        <b/>
        <sz val="9"/>
        <rFont val="Calibri"/>
        <family val="2"/>
        <charset val="186"/>
      </rPr>
      <t>̶</t>
    </r>
  </si>
  <si>
    <t>TP011316</t>
  </si>
  <si>
    <t>Kultuurileht SA</t>
  </si>
  <si>
    <t>Eldi Kreison tel. 6833 103</t>
  </si>
  <si>
    <t>TP011314</t>
  </si>
  <si>
    <t>Jõulumäe Tervisespordikeskus SA</t>
  </si>
  <si>
    <t>TP011328</t>
  </si>
  <si>
    <t>Eesti Filharmoonia Kammerkoor SA</t>
  </si>
  <si>
    <t>Janika Tänak, 53 477 444</t>
  </si>
  <si>
    <r>
      <t xml:space="preserve">+ /  </t>
    </r>
    <r>
      <rPr>
        <b/>
        <sz val="9"/>
        <rFont val="Calibri"/>
        <family val="2"/>
      </rPr>
      <t>̶</t>
    </r>
  </si>
  <si>
    <r>
      <t xml:space="preserve">  </t>
    </r>
    <r>
      <rPr>
        <b/>
        <sz val="9"/>
        <rFont val="Calibri"/>
        <family val="2"/>
      </rPr>
      <t>̶</t>
    </r>
  </si>
  <si>
    <t>TP011323</t>
  </si>
  <si>
    <t>Eesti Tervishoiumuuseum SA</t>
  </si>
  <si>
    <t>TP011028/011324</t>
  </si>
  <si>
    <t>Kersti Paavo 65 49 102</t>
  </si>
  <si>
    <t>TP011046/011318</t>
  </si>
  <si>
    <t>Teater Vanemuine SA</t>
  </si>
  <si>
    <t>Tiina Lood, 7440114,tiina@vanemuine.ee, uuendatud 08.05.2017</t>
  </si>
  <si>
    <r>
      <t xml:space="preserve">  </t>
    </r>
    <r>
      <rPr>
        <b/>
        <sz val="9"/>
        <color indexed="8"/>
        <rFont val="Calibri"/>
        <family val="2"/>
        <charset val="186"/>
      </rPr>
      <t>̶</t>
    </r>
  </si>
  <si>
    <t>TP011010/011325</t>
  </si>
  <si>
    <t>Eesti Kontsert SA</t>
  </si>
  <si>
    <t>TP 011701</t>
  </si>
  <si>
    <t>Eesti Spordi ja Olümpiamuuseum SA</t>
  </si>
  <si>
    <t>Marve Peitel 7300756</t>
  </si>
  <si>
    <t xml:space="preserve"> </t>
  </si>
  <si>
    <t>TP015303</t>
  </si>
  <si>
    <t>Inegratsiooni Sihtasutus</t>
  </si>
  <si>
    <t>Marina Mõškova 6 599 845</t>
  </si>
  <si>
    <t>TP011312</t>
  </si>
  <si>
    <t>Ugala Teater SA</t>
  </si>
  <si>
    <t>TP011310</t>
  </si>
  <si>
    <t>Rakvere Teatrimaja SA</t>
  </si>
  <si>
    <t>Tuuli Jaansen 32 95 448</t>
  </si>
  <si>
    <t>̶</t>
  </si>
  <si>
    <r>
      <t xml:space="preserve">+ / </t>
    </r>
    <r>
      <rPr>
        <b/>
        <sz val="8"/>
        <rFont val="Arial"/>
        <family val="2"/>
        <charset val="186"/>
      </rPr>
      <t>̶</t>
    </r>
  </si>
  <si>
    <t>TP011330</t>
  </si>
  <si>
    <t>SA Eesti Kunstimuuseum</t>
  </si>
  <si>
    <t>Tiina Rüngas   6026027</t>
  </si>
  <si>
    <t>TP011329</t>
  </si>
  <si>
    <t>Pärnu Muuseum SA</t>
  </si>
  <si>
    <t>Kai Juhanson 44 33 231</t>
  </si>
  <si>
    <t>TP011306</t>
  </si>
  <si>
    <t>Eesti Laulu- ja Tantsupeo SA</t>
  </si>
  <si>
    <t>Anne Kuusemets-tel. 6273126</t>
  </si>
  <si>
    <t>konsolideeritud</t>
  </si>
  <si>
    <t>Eesti Filmi Instituut SA</t>
  </si>
  <si>
    <t xml:space="preserve">Marge Sammal 6276066, Marge@filmi.ee </t>
  </si>
  <si>
    <r>
      <t xml:space="preserve">+ /  </t>
    </r>
    <r>
      <rPr>
        <b/>
        <sz val="8"/>
        <rFont val="Arial"/>
        <family val="2"/>
        <charset val="186"/>
      </rPr>
      <t>̶</t>
    </r>
  </si>
  <si>
    <r>
      <t xml:space="preserve">  </t>
    </r>
    <r>
      <rPr>
        <b/>
        <sz val="8"/>
        <rFont val="Arial"/>
        <family val="2"/>
        <charset val="186"/>
      </rPr>
      <t>̶</t>
    </r>
  </si>
  <si>
    <t>Vene Teater SA</t>
  </si>
  <si>
    <t>I.Batajeva</t>
  </si>
  <si>
    <t>TP011011/011326</t>
  </si>
  <si>
    <t>Eesti Riiklik Sümfooniaorkester SA</t>
  </si>
  <si>
    <t>Ülle Vassar 50 84 383</t>
  </si>
  <si>
    <r>
      <t xml:space="preserve">+ /  </t>
    </r>
    <r>
      <rPr>
        <b/>
        <sz val="10"/>
        <rFont val="Calibri"/>
        <family val="2"/>
        <charset val="186"/>
      </rPr>
      <t>̶</t>
    </r>
  </si>
  <si>
    <r>
      <t xml:space="preserve">  </t>
    </r>
    <r>
      <rPr>
        <b/>
        <sz val="10"/>
        <rFont val="Calibri"/>
        <family val="2"/>
        <charset val="186"/>
      </rPr>
      <t>̶</t>
    </r>
  </si>
  <si>
    <t>Netovõlakoormus</t>
  </si>
  <si>
    <t>rusikareegel on 2, hea maksevõime tagamiseks peaks käibevara ületama kohustusi 2 korda</t>
  </si>
  <si>
    <t>TP011317</t>
  </si>
  <si>
    <t>Endla Teater SA</t>
  </si>
  <si>
    <t>Elo Siigur, 4420653</t>
  </si>
  <si>
    <t>TP015304</t>
  </si>
  <si>
    <t>A.H.Tammsaare Muuseum Vargamäel SA</t>
  </si>
  <si>
    <t>Agnija Kesamaa, 5594 4382</t>
  </si>
  <si>
    <t>TP011327</t>
  </si>
  <si>
    <t>Hiiumaa Muuseumid SA</t>
  </si>
  <si>
    <t>Elle Põitel, raamatupidaja, 4632093</t>
  </si>
  <si>
    <t>TP011319</t>
  </si>
  <si>
    <t>Teater NO99</t>
  </si>
  <si>
    <t>TP011041/011320</t>
  </si>
  <si>
    <t>NUKU SA</t>
  </si>
  <si>
    <t>Viktor Stepanov, 5187818</t>
  </si>
  <si>
    <t>TP011322</t>
  </si>
  <si>
    <t>Haapsalu ja Läänemaa Muuseumid SA</t>
  </si>
  <si>
    <t>TP011304</t>
  </si>
  <si>
    <t>Tartu Jaani Kirik SA</t>
  </si>
  <si>
    <t>Juhani Jaeger, 56628741</t>
  </si>
  <si>
    <r>
      <t xml:space="preserve">  </t>
    </r>
    <r>
      <rPr>
        <b/>
        <sz val="9"/>
        <rFont val="Calibri"/>
        <family val="2"/>
        <charset val="186"/>
      </rPr>
      <t>̶  ̶</t>
    </r>
  </si>
  <si>
    <r>
      <t xml:space="preserve">+ /  </t>
    </r>
    <r>
      <rPr>
        <b/>
        <sz val="9"/>
        <rFont val="Calibri"/>
        <family val="2"/>
        <charset val="186"/>
      </rPr>
      <t>̶+ /  ̶</t>
    </r>
  </si>
  <si>
    <t>Eesti Vabaõhumuuseum SA</t>
  </si>
  <si>
    <t>Tehvandi Spordikeskus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</si>
</sst>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%"/>
    <numFmt numFmtId="166" formatCode="dd/mm/yyyy"/>
    <numFmt numFmtId="167" formatCode="#,##0.000"/>
    <numFmt numFmtId="168" formatCode="0.0"/>
    <numFmt numFmtId="169" formatCode="0.000"/>
    <numFmt numFmtId="170" formatCode="mm/dd/yyyy"/>
  </numFmts>
  <fonts count="7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i/>
      <sz val="8"/>
      <name val="Arial"/>
      <family val="2"/>
      <charset val="186"/>
    </font>
    <font>
      <b/>
      <i/>
      <sz val="9"/>
      <name val="Arial"/>
      <family val="2"/>
      <charset val="186"/>
    </font>
    <font>
      <i/>
      <sz val="8"/>
      <name val="Arial"/>
      <family val="2"/>
      <charset val="186"/>
    </font>
    <font>
      <b/>
      <sz val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i/>
      <sz val="8"/>
      <color rgb="FF000099"/>
      <name val="Arial"/>
      <family val="2"/>
      <charset val="186"/>
    </font>
    <font>
      <b/>
      <i/>
      <sz val="8"/>
      <color rgb="FF000099"/>
      <name val="Arial"/>
      <family val="2"/>
      <charset val="186"/>
    </font>
    <font>
      <i/>
      <sz val="8"/>
      <color rgb="FF0033CC"/>
      <name val="Arial"/>
      <family val="2"/>
      <charset val="186"/>
    </font>
    <font>
      <sz val="8"/>
      <color rgb="FF000099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i/>
      <sz val="8"/>
      <color rgb="FFFF0000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i/>
      <sz val="8"/>
      <color indexed="18"/>
      <name val="Arial"/>
      <family val="2"/>
      <charset val="186"/>
    </font>
    <font>
      <i/>
      <sz val="8"/>
      <color indexed="30"/>
      <name val="Arial"/>
      <family val="2"/>
      <charset val="186"/>
    </font>
    <font>
      <i/>
      <sz val="8"/>
      <color indexed="10"/>
      <name val="Arial"/>
      <family val="2"/>
      <charset val="186"/>
    </font>
    <font>
      <sz val="8"/>
      <color indexed="18"/>
      <name val="Arial"/>
      <family val="2"/>
      <charset val="186"/>
    </font>
    <font>
      <b/>
      <i/>
      <sz val="8"/>
      <color indexed="10"/>
      <name val="Arial"/>
      <family val="2"/>
      <charset val="186"/>
    </font>
    <font>
      <i/>
      <sz val="8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8"/>
      <color rgb="FF000099"/>
      <name val="Arial"/>
      <family val="2"/>
    </font>
    <font>
      <b/>
      <i/>
      <sz val="8"/>
      <color rgb="FF000099"/>
      <name val="Arial"/>
      <family val="2"/>
    </font>
    <font>
      <i/>
      <sz val="8"/>
      <color rgb="FF0033CC"/>
      <name val="Arial"/>
      <family val="2"/>
    </font>
    <font>
      <sz val="8"/>
      <color rgb="FF000099"/>
      <name val="Arial"/>
      <family val="2"/>
    </font>
    <font>
      <b/>
      <sz val="9"/>
      <name val="Calibri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sz val="8"/>
      <color rgb="FF0000FF"/>
      <name val="Arial"/>
      <family val="2"/>
      <charset val="186"/>
    </font>
    <font>
      <b/>
      <sz val="8"/>
      <color rgb="FF0000FF"/>
      <name val="Arial"/>
      <family val="2"/>
      <charset val="186"/>
    </font>
    <font>
      <i/>
      <sz val="8"/>
      <color rgb="FF0000FF"/>
      <name val="Arial"/>
      <family val="2"/>
      <charset val="186"/>
    </font>
    <font>
      <b/>
      <i/>
      <sz val="9"/>
      <color theme="1"/>
      <name val="Arial"/>
      <family val="2"/>
      <charset val="186"/>
    </font>
    <font>
      <b/>
      <sz val="9"/>
      <color indexed="8"/>
      <name val="Calibri"/>
      <family val="2"/>
      <charset val="186"/>
    </font>
    <font>
      <sz val="8"/>
      <color rgb="FFFF0000"/>
      <name val="Arial"/>
      <family val="2"/>
      <charset val="186"/>
    </font>
    <font>
      <b/>
      <sz val="9"/>
      <color indexed="81"/>
      <name val="Tahoma"/>
      <charset val="186"/>
    </font>
    <font>
      <sz val="9"/>
      <color indexed="81"/>
      <name val="Tahoma"/>
      <charset val="186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0"/>
      <color rgb="FF000099"/>
      <name val="Arial"/>
      <family val="2"/>
      <charset val="186"/>
    </font>
    <font>
      <i/>
      <sz val="10"/>
      <color rgb="FF0033CC"/>
      <name val="Arial"/>
      <family val="2"/>
      <charset val="186"/>
    </font>
    <font>
      <sz val="10"/>
      <color rgb="FF000099"/>
      <name val="Arial"/>
      <family val="2"/>
      <charset val="186"/>
    </font>
    <font>
      <b/>
      <sz val="10"/>
      <name val="Calibri"/>
      <family val="2"/>
      <charset val="186"/>
    </font>
    <font>
      <i/>
      <sz val="10"/>
      <color rgb="FFFF0000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8"/>
      <color indexed="62"/>
      <name val="Arial"/>
      <family val="2"/>
      <charset val="186"/>
    </font>
    <font>
      <sz val="10"/>
      <name val="Arial"/>
      <family val="2"/>
    </font>
    <font>
      <sz val="11"/>
      <name val="Calibri"/>
      <family val="2"/>
      <charset val="186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9"/>
        <bgColor indexed="27"/>
      </patternFill>
    </fill>
    <fill>
      <patternFill patternType="solid">
        <fgColor indexed="31"/>
        <bgColor indexed="42"/>
      </patternFill>
    </fill>
  </fills>
  <borders count="1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7" fillId="0" borderId="0" applyFont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/>
    <xf numFmtId="0" fontId="70" fillId="0" borderId="0"/>
  </cellStyleXfs>
  <cellXfs count="1330">
    <xf numFmtId="0" fontId="0" fillId="0" borderId="0" xfId="0"/>
    <xf numFmtId="0" fontId="1" fillId="0" borderId="0" xfId="0" applyFont="1" applyBorder="1" applyAlignment="1">
      <alignment horizontal="center"/>
    </xf>
    <xf numFmtId="1" fontId="2" fillId="0" borderId="0" xfId="0" applyNumberFormat="1" applyFont="1"/>
    <xf numFmtId="0" fontId="1" fillId="0" borderId="0" xfId="0" applyFont="1" applyBorder="1" applyAlignment="1">
      <alignment horizontal="left"/>
    </xf>
    <xf numFmtId="1" fontId="8" fillId="0" borderId="0" xfId="0" applyNumberFormat="1" applyFont="1"/>
    <xf numFmtId="0" fontId="2" fillId="0" borderId="0" xfId="0" applyFont="1" applyBorder="1" applyAlignment="1">
      <alignment horizontal="center"/>
    </xf>
    <xf numFmtId="49" fontId="2" fillId="0" borderId="1" xfId="0" quotePrefix="1" applyNumberFormat="1" applyFont="1" applyFill="1" applyBorder="1"/>
    <xf numFmtId="1" fontId="9" fillId="0" borderId="2" xfId="0" applyNumberFormat="1" applyFont="1" applyBorder="1"/>
    <xf numFmtId="1" fontId="9" fillId="0" borderId="3" xfId="0" applyNumberFormat="1" applyFont="1" applyBorder="1"/>
    <xf numFmtId="1" fontId="9" fillId="0" borderId="4" xfId="0" applyNumberFormat="1" applyFont="1" applyBorder="1"/>
    <xf numFmtId="1" fontId="3" fillId="0" borderId="0" xfId="0" applyNumberFormat="1" applyFont="1"/>
    <xf numFmtId="49" fontId="2" fillId="3" borderId="1" xfId="0" applyNumberFormat="1" applyFont="1" applyFill="1" applyBorder="1"/>
    <xf numFmtId="14" fontId="2" fillId="3" borderId="1" xfId="0" applyNumberFormat="1" applyFont="1" applyFill="1" applyBorder="1" applyAlignment="1">
      <alignment horizontal="center"/>
    </xf>
    <xf numFmtId="0" fontId="1" fillId="0" borderId="0" xfId="0" applyFont="1" applyBorder="1"/>
    <xf numFmtId="49" fontId="2" fillId="0" borderId="5" xfId="0" applyNumberFormat="1" applyFont="1" applyFill="1" applyBorder="1"/>
    <xf numFmtId="3" fontId="1" fillId="4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49" fontId="2" fillId="0" borderId="6" xfId="0" applyNumberFormat="1" applyFont="1" applyFill="1" applyBorder="1"/>
    <xf numFmtId="0" fontId="1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3" fontId="1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1" fillId="0" borderId="6" xfId="0" applyNumberFormat="1" applyFont="1" applyFill="1" applyBorder="1"/>
    <xf numFmtId="3" fontId="10" fillId="2" borderId="1" xfId="0" applyNumberFormat="1" applyFont="1" applyFill="1" applyBorder="1"/>
    <xf numFmtId="1" fontId="10" fillId="0" borderId="0" xfId="0" applyNumberFormat="1" applyFont="1"/>
    <xf numFmtId="0" fontId="12" fillId="0" borderId="0" xfId="0" applyFont="1"/>
    <xf numFmtId="3" fontId="12" fillId="2" borderId="1" xfId="0" applyNumberFormat="1" applyFont="1" applyFill="1" applyBorder="1"/>
    <xf numFmtId="1" fontId="12" fillId="0" borderId="0" xfId="0" applyNumberFormat="1" applyFont="1"/>
    <xf numFmtId="0" fontId="1" fillId="0" borderId="0" xfId="0" applyFont="1" applyAlignment="1"/>
    <xf numFmtId="0" fontId="13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49" fontId="14" fillId="3" borderId="7" xfId="0" applyNumberFormat="1" applyFont="1" applyFill="1" applyBorder="1"/>
    <xf numFmtId="3" fontId="15" fillId="4" borderId="1" xfId="0" applyNumberFormat="1" applyFont="1" applyFill="1" applyBorder="1"/>
    <xf numFmtId="1" fontId="16" fillId="0" borderId="0" xfId="0" applyNumberFormat="1" applyFont="1"/>
    <xf numFmtId="0" fontId="2" fillId="3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49" fontId="2" fillId="0" borderId="0" xfId="0" applyNumberFormat="1" applyFont="1" applyFill="1"/>
    <xf numFmtId="9" fontId="1" fillId="2" borderId="1" xfId="1" applyFont="1" applyFill="1" applyBorder="1"/>
    <xf numFmtId="49" fontId="1" fillId="0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vertical="center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wrapText="1"/>
    </xf>
    <xf numFmtId="49" fontId="2" fillId="0" borderId="6" xfId="0" applyNumberFormat="1" applyFont="1" applyFill="1" applyBorder="1" applyAlignment="1">
      <alignment vertical="center"/>
    </xf>
    <xf numFmtId="0" fontId="1" fillId="0" borderId="0" xfId="0" quotePrefix="1" applyFont="1"/>
    <xf numFmtId="0" fontId="1" fillId="0" borderId="0" xfId="0" quotePrefix="1" applyFont="1" applyAlignment="1"/>
    <xf numFmtId="49" fontId="2" fillId="0" borderId="1" xfId="0" applyNumberFormat="1" applyFont="1" applyFill="1" applyBorder="1"/>
    <xf numFmtId="0" fontId="1" fillId="0" borderId="0" xfId="0" quotePrefix="1" applyFont="1" applyAlignment="1">
      <alignment horizontal="left"/>
    </xf>
    <xf numFmtId="49" fontId="2" fillId="0" borderId="7" xfId="0" applyNumberFormat="1" applyFont="1" applyFill="1" applyBorder="1"/>
    <xf numFmtId="9" fontId="1" fillId="4" borderId="1" xfId="0" applyNumberFormat="1" applyFont="1" applyFill="1" applyBorder="1" applyAlignment="1">
      <alignment horizontal="center"/>
    </xf>
    <xf numFmtId="3" fontId="1" fillId="4" borderId="4" xfId="0" applyNumberFormat="1" applyFont="1" applyFill="1" applyBorder="1"/>
    <xf numFmtId="9" fontId="1" fillId="5" borderId="1" xfId="0" applyNumberFormat="1" applyFont="1" applyFill="1" applyBorder="1" applyAlignment="1">
      <alignment horizontal="center"/>
    </xf>
    <xf numFmtId="9" fontId="1" fillId="4" borderId="4" xfId="1" applyNumberFormat="1" applyFont="1" applyFill="1" applyBorder="1" applyAlignment="1">
      <alignment horizontal="center"/>
    </xf>
    <xf numFmtId="9" fontId="1" fillId="4" borderId="1" xfId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5" fontId="1" fillId="4" borderId="4" xfId="1" applyNumberFormat="1" applyFont="1" applyFill="1" applyBorder="1" applyAlignment="1">
      <alignment horizontal="center"/>
    </xf>
    <xf numFmtId="165" fontId="1" fillId="4" borderId="1" xfId="1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0" fontId="2" fillId="0" borderId="0" xfId="0" applyFont="1" applyAlignment="1">
      <alignment horizontal="right"/>
    </xf>
    <xf numFmtId="9" fontId="1" fillId="4" borderId="4" xfId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4" fontId="1" fillId="0" borderId="0" xfId="0" quotePrefix="1" applyNumberFormat="1" applyFont="1"/>
    <xf numFmtId="49" fontId="2" fillId="3" borderId="7" xfId="0" applyNumberFormat="1" applyFont="1" applyFill="1" applyBorder="1"/>
    <xf numFmtId="0" fontId="1" fillId="0" borderId="0" xfId="0" applyFont="1" applyBorder="1" applyAlignment="1">
      <alignment horizontal="left" vertical="center" wrapText="1"/>
    </xf>
    <xf numFmtId="9" fontId="1" fillId="4" borderId="1" xfId="1" applyNumberFormat="1" applyFont="1" applyFill="1" applyBorder="1" applyAlignment="1">
      <alignment horizontal="center"/>
    </xf>
    <xf numFmtId="1" fontId="9" fillId="0" borderId="0" xfId="0" applyNumberFormat="1" applyFont="1"/>
    <xf numFmtId="1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9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/>
    <xf numFmtId="3" fontId="8" fillId="0" borderId="1" xfId="0" applyNumberFormat="1" applyFont="1" applyBorder="1"/>
    <xf numFmtId="49" fontId="2" fillId="0" borderId="0" xfId="0" applyNumberFormat="1" applyFont="1" applyFill="1" applyBorder="1"/>
    <xf numFmtId="0" fontId="17" fillId="0" borderId="0" xfId="0" applyFont="1"/>
    <xf numFmtId="164" fontId="1" fillId="2" borderId="1" xfId="0" applyNumberFormat="1" applyFont="1" applyFill="1" applyBorder="1"/>
    <xf numFmtId="0" fontId="1" fillId="0" borderId="0" xfId="2" applyFont="1" applyBorder="1" applyAlignment="1">
      <alignment horizontal="center"/>
    </xf>
    <xf numFmtId="1" fontId="2" fillId="0" borderId="0" xfId="2" applyNumberFormat="1" applyFont="1"/>
    <xf numFmtId="0" fontId="1" fillId="0" borderId="0" xfId="2" applyFont="1" applyBorder="1" applyAlignment="1">
      <alignment horizontal="left"/>
    </xf>
    <xf numFmtId="1" fontId="19" fillId="0" borderId="0" xfId="2" applyNumberFormat="1" applyFont="1"/>
    <xf numFmtId="0" fontId="2" fillId="0" borderId="0" xfId="2" applyFont="1" applyBorder="1" applyAlignment="1">
      <alignment horizontal="center"/>
    </xf>
    <xf numFmtId="49" fontId="2" fillId="0" borderId="8" xfId="2" applyNumberFormat="1" applyFont="1" applyFill="1" applyBorder="1"/>
    <xf numFmtId="1" fontId="20" fillId="0" borderId="9" xfId="2" applyNumberFormat="1" applyFont="1" applyBorder="1"/>
    <xf numFmtId="1" fontId="20" fillId="0" borderId="10" xfId="2" applyNumberFormat="1" applyFont="1" applyBorder="1"/>
    <xf numFmtId="1" fontId="20" fillId="0" borderId="11" xfId="2" applyNumberFormat="1" applyFont="1" applyBorder="1"/>
    <xf numFmtId="1" fontId="3" fillId="0" borderId="0" xfId="2" applyNumberFormat="1" applyFont="1"/>
    <xf numFmtId="49" fontId="2" fillId="7" borderId="8" xfId="2" applyNumberFormat="1" applyFont="1" applyFill="1" applyBorder="1"/>
    <xf numFmtId="166" fontId="2" fillId="7" borderId="8" xfId="2" applyNumberFormat="1" applyFont="1" applyFill="1" applyBorder="1" applyAlignment="1">
      <alignment horizontal="center"/>
    </xf>
    <xf numFmtId="0" fontId="1" fillId="0" borderId="0" xfId="2" applyFont="1" applyBorder="1"/>
    <xf numFmtId="49" fontId="2" fillId="0" borderId="12" xfId="2" applyNumberFormat="1" applyFont="1" applyFill="1" applyBorder="1"/>
    <xf numFmtId="3" fontId="1" fillId="8" borderId="8" xfId="2" applyNumberFormat="1" applyFont="1" applyFill="1" applyBorder="1"/>
    <xf numFmtId="0" fontId="1" fillId="0" borderId="0" xfId="2" applyFont="1"/>
    <xf numFmtId="0" fontId="1" fillId="0" borderId="0" xfId="2" applyFont="1" applyAlignment="1">
      <alignment horizontal="center"/>
    </xf>
    <xf numFmtId="49" fontId="2" fillId="0" borderId="13" xfId="2" applyNumberFormat="1" applyFont="1" applyFill="1" applyBorder="1"/>
    <xf numFmtId="0" fontId="1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3" fontId="1" fillId="6" borderId="8" xfId="2" applyNumberFormat="1" applyFont="1" applyFill="1" applyBorder="1"/>
    <xf numFmtId="0" fontId="5" fillId="0" borderId="0" xfId="2" applyFont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left"/>
    </xf>
    <xf numFmtId="0" fontId="21" fillId="0" borderId="0" xfId="2" applyFont="1" applyAlignment="1">
      <alignment horizontal="left"/>
    </xf>
    <xf numFmtId="0" fontId="21" fillId="0" borderId="0" xfId="2" applyFont="1" applyAlignment="1">
      <alignment horizontal="right"/>
    </xf>
    <xf numFmtId="49" fontId="22" fillId="0" borderId="13" xfId="2" applyNumberFormat="1" applyFont="1" applyFill="1" applyBorder="1"/>
    <xf numFmtId="3" fontId="21" fillId="6" borderId="8" xfId="2" applyNumberFormat="1" applyFont="1" applyFill="1" applyBorder="1"/>
    <xf numFmtId="1" fontId="21" fillId="0" borderId="0" xfId="2" applyNumberFormat="1" applyFont="1"/>
    <xf numFmtId="0" fontId="23" fillId="0" borderId="0" xfId="2" applyFont="1"/>
    <xf numFmtId="3" fontId="23" fillId="6" borderId="8" xfId="2" applyNumberFormat="1" applyFont="1" applyFill="1" applyBorder="1"/>
    <xf numFmtId="1" fontId="24" fillId="0" borderId="0" xfId="2" applyNumberFormat="1" applyFont="1"/>
    <xf numFmtId="1" fontId="23" fillId="0" borderId="0" xfId="2" applyNumberFormat="1" applyFont="1"/>
    <xf numFmtId="0" fontId="1" fillId="0" borderId="0" xfId="2" applyFont="1" applyAlignment="1"/>
    <xf numFmtId="0" fontId="25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left"/>
    </xf>
    <xf numFmtId="0" fontId="5" fillId="7" borderId="0" xfId="2" applyFont="1" applyFill="1" applyAlignment="1">
      <alignment horizontal="center"/>
    </xf>
    <xf numFmtId="49" fontId="26" fillId="7" borderId="14" xfId="2" applyNumberFormat="1" applyFont="1" applyFill="1" applyBorder="1"/>
    <xf numFmtId="3" fontId="24" fillId="8" borderId="8" xfId="2" applyNumberFormat="1" applyFont="1" applyFill="1" applyBorder="1"/>
    <xf numFmtId="1" fontId="27" fillId="0" borderId="0" xfId="2" applyNumberFormat="1" applyFont="1"/>
    <xf numFmtId="0" fontId="2" fillId="7" borderId="8" xfId="2" applyNumberFormat="1" applyFont="1" applyFill="1" applyBorder="1" applyAlignment="1">
      <alignment horizontal="center"/>
    </xf>
    <xf numFmtId="0" fontId="1" fillId="0" borderId="0" xfId="2" applyFont="1" applyFill="1" applyAlignment="1">
      <alignment horizontal="center"/>
    </xf>
    <xf numFmtId="0" fontId="1" fillId="7" borderId="0" xfId="2" applyFont="1" applyFill="1"/>
    <xf numFmtId="0" fontId="1" fillId="7" borderId="0" xfId="2" applyFont="1" applyFill="1" applyAlignment="1">
      <alignment horizontal="left"/>
    </xf>
    <xf numFmtId="0" fontId="1" fillId="7" borderId="0" xfId="2" applyFont="1" applyFill="1" applyAlignment="1">
      <alignment horizontal="center"/>
    </xf>
    <xf numFmtId="49" fontId="2" fillId="0" borderId="0" xfId="2" applyNumberFormat="1" applyFont="1" applyFill="1"/>
    <xf numFmtId="9" fontId="1" fillId="6" borderId="8" xfId="3" applyFont="1" applyFill="1" applyBorder="1" applyAlignment="1" applyProtection="1"/>
    <xf numFmtId="0" fontId="2" fillId="0" borderId="0" xfId="2" applyFont="1"/>
    <xf numFmtId="0" fontId="2" fillId="0" borderId="0" xfId="2" applyFont="1" applyAlignment="1">
      <alignment horizontal="center"/>
    </xf>
    <xf numFmtId="1" fontId="2" fillId="0" borderId="0" xfId="2" applyNumberFormat="1" applyFont="1" applyAlignment="1">
      <alignment vertical="center"/>
    </xf>
    <xf numFmtId="0" fontId="1" fillId="0" borderId="0" xfId="2" applyFont="1" applyAlignment="1">
      <alignment horizontal="left" vertical="center" wrapText="1"/>
    </xf>
    <xf numFmtId="0" fontId="1" fillId="0" borderId="0" xfId="2" applyFont="1" applyAlignment="1">
      <alignment wrapText="1"/>
    </xf>
    <xf numFmtId="49" fontId="2" fillId="0" borderId="13" xfId="2" applyNumberFormat="1" applyFont="1" applyFill="1" applyBorder="1" applyAlignment="1">
      <alignment vertical="center"/>
    </xf>
    <xf numFmtId="49" fontId="1" fillId="0" borderId="0" xfId="2" applyNumberFormat="1" applyFont="1" applyFill="1"/>
    <xf numFmtId="49" fontId="2" fillId="0" borderId="14" xfId="2" applyNumberFormat="1" applyFont="1" applyFill="1" applyBorder="1"/>
    <xf numFmtId="9" fontId="1" fillId="8" borderId="8" xfId="2" applyNumberFormat="1" applyFont="1" applyFill="1" applyBorder="1" applyAlignment="1">
      <alignment horizontal="center"/>
    </xf>
    <xf numFmtId="3" fontId="1" fillId="8" borderId="11" xfId="2" applyNumberFormat="1" applyFont="1" applyFill="1" applyBorder="1"/>
    <xf numFmtId="9" fontId="1" fillId="9" borderId="8" xfId="2" applyNumberFormat="1" applyFont="1" applyFill="1" applyBorder="1" applyAlignment="1">
      <alignment horizontal="center"/>
    </xf>
    <xf numFmtId="9" fontId="1" fillId="8" borderId="11" xfId="3" applyNumberFormat="1" applyFont="1" applyFill="1" applyBorder="1" applyAlignment="1" applyProtection="1">
      <alignment horizontal="center"/>
    </xf>
    <xf numFmtId="9" fontId="1" fillId="8" borderId="8" xfId="3" applyFont="1" applyFill="1" applyBorder="1" applyAlignment="1" applyProtection="1">
      <alignment horizontal="center"/>
    </xf>
    <xf numFmtId="164" fontId="1" fillId="8" borderId="8" xfId="2" applyNumberFormat="1" applyFont="1" applyFill="1" applyBorder="1" applyAlignment="1">
      <alignment horizontal="center"/>
    </xf>
    <xf numFmtId="165" fontId="1" fillId="8" borderId="11" xfId="3" applyNumberFormat="1" applyFont="1" applyFill="1" applyBorder="1" applyAlignment="1" applyProtection="1">
      <alignment horizontal="center"/>
    </xf>
    <xf numFmtId="165" fontId="1" fillId="8" borderId="8" xfId="3" applyNumberFormat="1" applyFont="1" applyFill="1" applyBorder="1" applyAlignment="1" applyProtection="1">
      <alignment horizontal="center"/>
    </xf>
    <xf numFmtId="49" fontId="2" fillId="7" borderId="13" xfId="2" applyNumberFormat="1" applyFont="1" applyFill="1" applyBorder="1"/>
    <xf numFmtId="0" fontId="2" fillId="0" borderId="0" xfId="2" applyFont="1" applyAlignment="1">
      <alignment horizontal="right"/>
    </xf>
    <xf numFmtId="9" fontId="1" fillId="8" borderId="11" xfId="3" applyFont="1" applyFill="1" applyBorder="1" applyAlignment="1" applyProtection="1">
      <alignment horizontal="center"/>
    </xf>
    <xf numFmtId="0" fontId="1" fillId="9" borderId="8" xfId="2" applyFont="1" applyFill="1" applyBorder="1" applyAlignment="1">
      <alignment horizontal="center"/>
    </xf>
    <xf numFmtId="164" fontId="1" fillId="8" borderId="11" xfId="2" applyNumberFormat="1" applyFont="1" applyFill="1" applyBorder="1" applyAlignment="1">
      <alignment horizontal="center"/>
    </xf>
    <xf numFmtId="166" fontId="1" fillId="0" borderId="0" xfId="2" applyNumberFormat="1" applyFont="1"/>
    <xf numFmtId="49" fontId="2" fillId="7" borderId="14" xfId="2" applyNumberFormat="1" applyFont="1" applyFill="1" applyBorder="1"/>
    <xf numFmtId="0" fontId="1" fillId="0" borderId="0" xfId="2" applyFont="1" applyBorder="1" applyAlignment="1">
      <alignment horizontal="left" vertical="center" wrapText="1"/>
    </xf>
    <xf numFmtId="9" fontId="1" fillId="8" borderId="8" xfId="3" applyNumberFormat="1" applyFont="1" applyFill="1" applyBorder="1" applyAlignment="1" applyProtection="1">
      <alignment horizontal="center"/>
    </xf>
    <xf numFmtId="1" fontId="20" fillId="0" borderId="0" xfId="2" applyNumberFormat="1" applyFont="1"/>
    <xf numFmtId="1" fontId="20" fillId="0" borderId="0" xfId="2" applyNumberFormat="1" applyFont="1" applyAlignment="1">
      <alignment horizontal="left"/>
    </xf>
    <xf numFmtId="1" fontId="20" fillId="0" borderId="0" xfId="2" applyNumberFormat="1" applyFont="1" applyAlignment="1">
      <alignment horizontal="center"/>
    </xf>
    <xf numFmtId="1" fontId="19" fillId="0" borderId="0" xfId="2" applyNumberFormat="1" applyFont="1" applyAlignment="1">
      <alignment horizontal="left"/>
    </xf>
    <xf numFmtId="9" fontId="1" fillId="0" borderId="8" xfId="2" applyNumberFormat="1" applyFont="1" applyBorder="1" applyAlignment="1">
      <alignment horizontal="center"/>
    </xf>
    <xf numFmtId="1" fontId="19" fillId="0" borderId="8" xfId="2" applyNumberFormat="1" applyFont="1" applyBorder="1" applyAlignment="1">
      <alignment horizontal="center"/>
    </xf>
    <xf numFmtId="49" fontId="1" fillId="0" borderId="8" xfId="2" applyNumberFormat="1" applyFont="1" applyFill="1" applyBorder="1"/>
    <xf numFmtId="3" fontId="19" fillId="0" borderId="8" xfId="2" applyNumberFormat="1" applyFont="1" applyBorder="1"/>
    <xf numFmtId="49" fontId="2" fillId="0" borderId="0" xfId="2" applyNumberFormat="1" applyFont="1" applyFill="1" applyBorder="1"/>
    <xf numFmtId="49" fontId="2" fillId="0" borderId="15" xfId="0" quotePrefix="1" applyNumberFormat="1" applyFont="1" applyFill="1" applyBorder="1"/>
    <xf numFmtId="1" fontId="9" fillId="0" borderId="16" xfId="0" applyNumberFormat="1" applyFont="1" applyBorder="1"/>
    <xf numFmtId="1" fontId="9" fillId="0" borderId="17" xfId="0" applyNumberFormat="1" applyFont="1" applyBorder="1"/>
    <xf numFmtId="1" fontId="9" fillId="0" borderId="18" xfId="0" applyNumberFormat="1" applyFont="1" applyBorder="1"/>
    <xf numFmtId="49" fontId="2" fillId="3" borderId="15" xfId="0" applyNumberFormat="1" applyFont="1" applyFill="1" applyBorder="1"/>
    <xf numFmtId="14" fontId="2" fillId="3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/>
    <xf numFmtId="3" fontId="1" fillId="4" borderId="15" xfId="0" applyNumberFormat="1" applyFont="1" applyFill="1" applyBorder="1"/>
    <xf numFmtId="3" fontId="1" fillId="2" borderId="15" xfId="0" applyNumberFormat="1" applyFont="1" applyFill="1" applyBorder="1"/>
    <xf numFmtId="3" fontId="10" fillId="2" borderId="15" xfId="0" applyNumberFormat="1" applyFont="1" applyFill="1" applyBorder="1"/>
    <xf numFmtId="3" fontId="12" fillId="2" borderId="15" xfId="0" applyNumberFormat="1" applyFont="1" applyFill="1" applyBorder="1"/>
    <xf numFmtId="49" fontId="14" fillId="3" borderId="20" xfId="0" applyNumberFormat="1" applyFont="1" applyFill="1" applyBorder="1"/>
    <xf numFmtId="3" fontId="15" fillId="4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/>
    </xf>
    <xf numFmtId="9" fontId="1" fillId="2" borderId="15" xfId="1" applyFont="1" applyFill="1" applyBorder="1"/>
    <xf numFmtId="49" fontId="2" fillId="0" borderId="15" xfId="0" applyNumberFormat="1" applyFont="1" applyFill="1" applyBorder="1"/>
    <xf numFmtId="49" fontId="2" fillId="0" borderId="20" xfId="0" applyNumberFormat="1" applyFont="1" applyFill="1" applyBorder="1"/>
    <xf numFmtId="9" fontId="1" fillId="4" borderId="15" xfId="0" applyNumberFormat="1" applyFont="1" applyFill="1" applyBorder="1" applyAlignment="1">
      <alignment horizontal="center"/>
    </xf>
    <xf numFmtId="3" fontId="1" fillId="4" borderId="18" xfId="0" applyNumberFormat="1" applyFont="1" applyFill="1" applyBorder="1"/>
    <xf numFmtId="9" fontId="1" fillId="5" borderId="15" xfId="0" applyNumberFormat="1" applyFont="1" applyFill="1" applyBorder="1" applyAlignment="1">
      <alignment horizontal="center"/>
    </xf>
    <xf numFmtId="9" fontId="1" fillId="4" borderId="18" xfId="1" applyNumberFormat="1" applyFont="1" applyFill="1" applyBorder="1" applyAlignment="1">
      <alignment horizontal="center"/>
    </xf>
    <xf numFmtId="9" fontId="1" fillId="4" borderId="15" xfId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5" fontId="1" fillId="4" borderId="18" xfId="1" applyNumberFormat="1" applyFont="1" applyFill="1" applyBorder="1" applyAlignment="1">
      <alignment horizontal="center"/>
    </xf>
    <xf numFmtId="165" fontId="1" fillId="4" borderId="15" xfId="1" applyNumberFormat="1" applyFont="1" applyFill="1" applyBorder="1" applyAlignment="1">
      <alignment horizontal="center"/>
    </xf>
    <xf numFmtId="9" fontId="1" fillId="4" borderId="18" xfId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49" fontId="2" fillId="3" borderId="20" xfId="0" applyNumberFormat="1" applyFont="1" applyFill="1" applyBorder="1"/>
    <xf numFmtId="9" fontId="1" fillId="4" borderId="15" xfId="1" applyNumberFormat="1" applyFont="1" applyFill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49" fontId="1" fillId="0" borderId="15" xfId="0" applyNumberFormat="1" applyFont="1" applyFill="1" applyBorder="1"/>
    <xf numFmtId="3" fontId="8" fillId="0" borderId="15" xfId="0" applyNumberFormat="1" applyFont="1" applyBorder="1"/>
    <xf numFmtId="49" fontId="2" fillId="0" borderId="21" xfId="0" quotePrefix="1" applyNumberFormat="1" applyFont="1" applyFill="1" applyBorder="1"/>
    <xf numFmtId="1" fontId="9" fillId="0" borderId="21" xfId="0" applyNumberFormat="1" applyFont="1" applyBorder="1"/>
    <xf numFmtId="1" fontId="9" fillId="0" borderId="22" xfId="0" applyNumberFormat="1" applyFont="1" applyBorder="1"/>
    <xf numFmtId="49" fontId="2" fillId="3" borderId="24" xfId="0" applyNumberFormat="1" applyFont="1" applyFill="1" applyBorder="1"/>
    <xf numFmtId="14" fontId="2" fillId="3" borderId="20" xfId="0" applyNumberFormat="1" applyFont="1" applyFill="1" applyBorder="1" applyAlignment="1">
      <alignment horizontal="center"/>
    </xf>
    <xf numFmtId="14" fontId="2" fillId="3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/>
    <xf numFmtId="3" fontId="1" fillId="4" borderId="24" xfId="0" applyNumberFormat="1" applyFont="1" applyFill="1" applyBorder="1"/>
    <xf numFmtId="3" fontId="1" fillId="2" borderId="24" xfId="0" applyNumberFormat="1" applyFont="1" applyFill="1" applyBorder="1"/>
    <xf numFmtId="3" fontId="10" fillId="2" borderId="24" xfId="0" applyNumberFormat="1" applyFont="1" applyFill="1" applyBorder="1"/>
    <xf numFmtId="3" fontId="12" fillId="2" borderId="24" xfId="0" applyNumberFormat="1" applyFont="1" applyFill="1" applyBorder="1"/>
    <xf numFmtId="3" fontId="15" fillId="4" borderId="24" xfId="0" applyNumberFormat="1" applyFont="1" applyFill="1" applyBorder="1"/>
    <xf numFmtId="0" fontId="2" fillId="3" borderId="24" xfId="0" applyNumberFormat="1" applyFont="1" applyFill="1" applyBorder="1" applyAlignment="1">
      <alignment horizontal="center"/>
    </xf>
    <xf numFmtId="9" fontId="1" fillId="2" borderId="24" xfId="1" applyFont="1" applyFill="1" applyBorder="1"/>
    <xf numFmtId="49" fontId="2" fillId="0" borderId="24" xfId="0" applyNumberFormat="1" applyFont="1" applyFill="1" applyBorder="1"/>
    <xf numFmtId="9" fontId="1" fillId="4" borderId="24" xfId="0" applyNumberFormat="1" applyFont="1" applyFill="1" applyBorder="1" applyAlignment="1">
      <alignment horizontal="center"/>
    </xf>
    <xf numFmtId="3" fontId="1" fillId="4" borderId="23" xfId="0" applyNumberFormat="1" applyFont="1" applyFill="1" applyBorder="1"/>
    <xf numFmtId="9" fontId="1" fillId="5" borderId="24" xfId="0" applyNumberFormat="1" applyFont="1" applyFill="1" applyBorder="1" applyAlignment="1">
      <alignment horizontal="center"/>
    </xf>
    <xf numFmtId="9" fontId="1" fillId="4" borderId="23" xfId="1" applyNumberFormat="1" applyFont="1" applyFill="1" applyBorder="1" applyAlignment="1">
      <alignment horizontal="center"/>
    </xf>
    <xf numFmtId="9" fontId="1" fillId="4" borderId="24" xfId="1" applyFont="1" applyFill="1" applyBorder="1" applyAlignment="1">
      <alignment horizontal="center"/>
    </xf>
    <xf numFmtId="164" fontId="1" fillId="4" borderId="24" xfId="0" applyNumberFormat="1" applyFont="1" applyFill="1" applyBorder="1" applyAlignment="1">
      <alignment horizontal="center"/>
    </xf>
    <xf numFmtId="165" fontId="1" fillId="4" borderId="23" xfId="1" applyNumberFormat="1" applyFont="1" applyFill="1" applyBorder="1" applyAlignment="1">
      <alignment horizontal="center"/>
    </xf>
    <xf numFmtId="165" fontId="1" fillId="4" borderId="24" xfId="1" applyNumberFormat="1" applyFont="1" applyFill="1" applyBorder="1" applyAlignment="1">
      <alignment horizontal="center"/>
    </xf>
    <xf numFmtId="9" fontId="1" fillId="4" borderId="23" xfId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164" fontId="1" fillId="4" borderId="23" xfId="0" applyNumberFormat="1" applyFont="1" applyFill="1" applyBorder="1" applyAlignment="1">
      <alignment horizontal="center"/>
    </xf>
    <xf numFmtId="9" fontId="1" fillId="4" borderId="24" xfId="1" applyNumberFormat="1" applyFont="1" applyFill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/>
    <xf numFmtId="3" fontId="8" fillId="0" borderId="24" xfId="0" applyNumberFormat="1" applyFont="1" applyBorder="1"/>
    <xf numFmtId="0" fontId="29" fillId="0" borderId="0" xfId="4" applyFont="1" applyBorder="1" applyAlignment="1">
      <alignment horizontal="center"/>
    </xf>
    <xf numFmtId="1" fontId="30" fillId="0" borderId="0" xfId="4" applyNumberFormat="1" applyFont="1"/>
    <xf numFmtId="0" fontId="29" fillId="0" borderId="0" xfId="4" applyFont="1" applyBorder="1" applyAlignment="1">
      <alignment horizontal="left"/>
    </xf>
    <xf numFmtId="1" fontId="31" fillId="0" borderId="0" xfId="4" applyNumberFormat="1" applyFont="1"/>
    <xf numFmtId="0" fontId="30" fillId="0" borderId="0" xfId="4" applyFont="1" applyBorder="1" applyAlignment="1">
      <alignment horizontal="center"/>
    </xf>
    <xf numFmtId="49" fontId="30" fillId="0" borderId="26" xfId="4" quotePrefix="1" applyNumberFormat="1" applyFont="1" applyFill="1" applyBorder="1"/>
    <xf numFmtId="1" fontId="32" fillId="0" borderId="26" xfId="4" applyNumberFormat="1" applyFont="1" applyBorder="1"/>
    <xf numFmtId="1" fontId="32" fillId="0" borderId="27" xfId="4" applyNumberFormat="1" applyFont="1" applyBorder="1"/>
    <xf numFmtId="1" fontId="33" fillId="0" borderId="0" xfId="4" applyNumberFormat="1" applyFont="1"/>
    <xf numFmtId="49" fontId="30" fillId="3" borderId="29" xfId="4" applyNumberFormat="1" applyFont="1" applyFill="1" applyBorder="1"/>
    <xf numFmtId="14" fontId="30" fillId="3" borderId="20" xfId="4" applyNumberFormat="1" applyFont="1" applyFill="1" applyBorder="1" applyAlignment="1">
      <alignment horizontal="center"/>
    </xf>
    <xf numFmtId="14" fontId="30" fillId="3" borderId="29" xfId="4" applyNumberFormat="1" applyFont="1" applyFill="1" applyBorder="1" applyAlignment="1">
      <alignment horizontal="center"/>
    </xf>
    <xf numFmtId="0" fontId="29" fillId="0" borderId="0" xfId="4" applyFont="1" applyBorder="1"/>
    <xf numFmtId="49" fontId="30" fillId="0" borderId="30" xfId="4" applyNumberFormat="1" applyFont="1" applyFill="1" applyBorder="1"/>
    <xf numFmtId="3" fontId="29" fillId="4" borderId="29" xfId="4" applyNumberFormat="1" applyFont="1" applyFill="1" applyBorder="1"/>
    <xf numFmtId="0" fontId="29" fillId="0" borderId="0" xfId="4" applyFont="1"/>
    <xf numFmtId="0" fontId="29" fillId="0" borderId="0" xfId="4" applyFont="1" applyAlignment="1">
      <alignment horizontal="center"/>
    </xf>
    <xf numFmtId="49" fontId="30" fillId="0" borderId="6" xfId="4" applyNumberFormat="1" applyFont="1" applyFill="1" applyBorder="1"/>
    <xf numFmtId="0" fontId="29" fillId="0" borderId="0" xfId="4" applyFont="1" applyAlignment="1">
      <alignment horizontal="left"/>
    </xf>
    <xf numFmtId="0" fontId="34" fillId="0" borderId="0" xfId="4" quotePrefix="1" applyFont="1" applyAlignment="1">
      <alignment horizontal="center"/>
    </xf>
    <xf numFmtId="3" fontId="29" fillId="2" borderId="29" xfId="4" applyNumberFormat="1" applyFont="1" applyFill="1" applyBorder="1"/>
    <xf numFmtId="0" fontId="35" fillId="0" borderId="0" xfId="4" applyFont="1" applyAlignment="1">
      <alignment horizontal="center"/>
    </xf>
    <xf numFmtId="0" fontId="29" fillId="0" borderId="0" xfId="4" applyFont="1" applyFill="1"/>
    <xf numFmtId="0" fontId="29" fillId="0" borderId="0" xfId="4" applyFont="1" applyFill="1" applyAlignment="1">
      <alignment horizontal="left"/>
    </xf>
    <xf numFmtId="0" fontId="36" fillId="0" borderId="0" xfId="4" applyFont="1" applyAlignment="1">
      <alignment horizontal="left"/>
    </xf>
    <xf numFmtId="0" fontId="36" fillId="0" borderId="0" xfId="4" applyFont="1" applyAlignment="1">
      <alignment horizontal="right"/>
    </xf>
    <xf numFmtId="49" fontId="37" fillId="0" borderId="6" xfId="4" applyNumberFormat="1" applyFont="1" applyFill="1" applyBorder="1"/>
    <xf numFmtId="3" fontId="36" fillId="2" borderId="29" xfId="4" applyNumberFormat="1" applyFont="1" applyFill="1" applyBorder="1"/>
    <xf numFmtId="1" fontId="36" fillId="0" borderId="0" xfId="4" applyNumberFormat="1" applyFont="1"/>
    <xf numFmtId="0" fontId="38" fillId="0" borderId="0" xfId="4" applyFont="1"/>
    <xf numFmtId="3" fontId="38" fillId="2" borderId="29" xfId="4" applyNumberFormat="1" applyFont="1" applyFill="1" applyBorder="1"/>
    <xf numFmtId="1" fontId="38" fillId="0" borderId="0" xfId="4" applyNumberFormat="1" applyFont="1"/>
    <xf numFmtId="0" fontId="29" fillId="0" borderId="0" xfId="4" applyFont="1" applyAlignment="1"/>
    <xf numFmtId="0" fontId="39" fillId="0" borderId="0" xfId="4" applyFont="1"/>
    <xf numFmtId="0" fontId="35" fillId="3" borderId="0" xfId="4" applyFont="1" applyFill="1"/>
    <xf numFmtId="0" fontId="35" fillId="3" borderId="0" xfId="4" applyFont="1" applyFill="1" applyAlignment="1">
      <alignment horizontal="left"/>
    </xf>
    <xf numFmtId="0" fontId="35" fillId="3" borderId="0" xfId="4" applyFont="1" applyFill="1" applyAlignment="1">
      <alignment horizontal="center"/>
    </xf>
    <xf numFmtId="49" fontId="41" fillId="3" borderId="20" xfId="4" applyNumberFormat="1" applyFont="1" applyFill="1" applyBorder="1"/>
    <xf numFmtId="3" fontId="42" fillId="4" borderId="29" xfId="4" applyNumberFormat="1" applyFont="1" applyFill="1" applyBorder="1"/>
    <xf numFmtId="1" fontId="43" fillId="0" borderId="0" xfId="4" applyNumberFormat="1" applyFont="1"/>
    <xf numFmtId="0" fontId="30" fillId="3" borderId="29" xfId="4" applyNumberFormat="1" applyFont="1" applyFill="1" applyBorder="1" applyAlignment="1">
      <alignment horizontal="center"/>
    </xf>
    <xf numFmtId="0" fontId="29" fillId="0" borderId="0" xfId="4" applyFont="1" applyFill="1" applyAlignment="1">
      <alignment horizontal="center"/>
    </xf>
    <xf numFmtId="0" fontId="29" fillId="3" borderId="0" xfId="4" applyFont="1" applyFill="1"/>
    <xf numFmtId="0" fontId="29" fillId="3" borderId="0" xfId="4" applyFont="1" applyFill="1" applyAlignment="1">
      <alignment horizontal="left"/>
    </xf>
    <xf numFmtId="0" fontId="29" fillId="3" borderId="0" xfId="4" applyFont="1" applyFill="1" applyAlignment="1">
      <alignment horizontal="center"/>
    </xf>
    <xf numFmtId="167" fontId="42" fillId="4" borderId="29" xfId="4" applyNumberFormat="1" applyFont="1" applyFill="1" applyBorder="1"/>
    <xf numFmtId="49" fontId="30" fillId="0" borderId="0" xfId="4" applyNumberFormat="1" applyFont="1" applyFill="1"/>
    <xf numFmtId="9" fontId="29" fillId="2" borderId="29" xfId="5" applyFont="1" applyFill="1" applyBorder="1"/>
    <xf numFmtId="0" fontId="30" fillId="0" borderId="0" xfId="4" applyFont="1"/>
    <xf numFmtId="0" fontId="30" fillId="0" borderId="0" xfId="4" applyFont="1" applyAlignment="1">
      <alignment horizontal="center"/>
    </xf>
    <xf numFmtId="1" fontId="30" fillId="0" borderId="0" xfId="4" applyNumberFormat="1" applyFont="1" applyAlignment="1">
      <alignment vertical="center"/>
    </xf>
    <xf numFmtId="0" fontId="29" fillId="0" borderId="0" xfId="4" quotePrefix="1" applyFont="1" applyAlignment="1">
      <alignment horizontal="left" vertical="center" wrapText="1"/>
    </xf>
    <xf numFmtId="0" fontId="29" fillId="0" borderId="0" xfId="4" applyFont="1" applyAlignment="1">
      <alignment wrapText="1"/>
    </xf>
    <xf numFmtId="49" fontId="30" fillId="0" borderId="6" xfId="4" applyNumberFormat="1" applyFont="1" applyFill="1" applyBorder="1" applyAlignment="1">
      <alignment vertical="center"/>
    </xf>
    <xf numFmtId="0" fontId="29" fillId="0" borderId="0" xfId="4" quotePrefix="1" applyFont="1"/>
    <xf numFmtId="0" fontId="29" fillId="0" borderId="0" xfId="4" quotePrefix="1" applyFont="1" applyAlignment="1"/>
    <xf numFmtId="49" fontId="30" fillId="0" borderId="29" xfId="4" applyNumberFormat="1" applyFont="1" applyFill="1" applyBorder="1"/>
    <xf numFmtId="49" fontId="29" fillId="0" borderId="0" xfId="4" applyNumberFormat="1" applyFont="1" applyFill="1"/>
    <xf numFmtId="0" fontId="29" fillId="0" borderId="0" xfId="4" quotePrefix="1" applyFont="1" applyAlignment="1">
      <alignment horizontal="left"/>
    </xf>
    <xf numFmtId="49" fontId="30" fillId="0" borderId="20" xfId="4" applyNumberFormat="1" applyFont="1" applyFill="1" applyBorder="1"/>
    <xf numFmtId="9" fontId="29" fillId="4" borderId="29" xfId="4" applyNumberFormat="1" applyFont="1" applyFill="1" applyBorder="1" applyAlignment="1">
      <alignment horizontal="center"/>
    </xf>
    <xf numFmtId="3" fontId="29" fillId="4" borderId="28" xfId="4" applyNumberFormat="1" applyFont="1" applyFill="1" applyBorder="1"/>
    <xf numFmtId="9" fontId="29" fillId="5" borderId="29" xfId="4" applyNumberFormat="1" applyFont="1" applyFill="1" applyBorder="1" applyAlignment="1">
      <alignment horizontal="center"/>
    </xf>
    <xf numFmtId="9" fontId="29" fillId="4" borderId="28" xfId="5" applyNumberFormat="1" applyFont="1" applyFill="1" applyBorder="1" applyAlignment="1">
      <alignment horizontal="center"/>
    </xf>
    <xf numFmtId="9" fontId="29" fillId="4" borderId="29" xfId="5" applyFont="1" applyFill="1" applyBorder="1" applyAlignment="1">
      <alignment horizontal="center"/>
    </xf>
    <xf numFmtId="164" fontId="29" fillId="4" borderId="29" xfId="4" applyNumberFormat="1" applyFont="1" applyFill="1" applyBorder="1" applyAlignment="1">
      <alignment horizontal="center"/>
    </xf>
    <xf numFmtId="165" fontId="29" fillId="4" borderId="28" xfId="5" applyNumberFormat="1" applyFont="1" applyFill="1" applyBorder="1" applyAlignment="1">
      <alignment horizontal="center"/>
    </xf>
    <xf numFmtId="165" fontId="29" fillId="4" borderId="29" xfId="5" applyNumberFormat="1" applyFont="1" applyFill="1" applyBorder="1" applyAlignment="1">
      <alignment horizontal="center"/>
    </xf>
    <xf numFmtId="49" fontId="30" fillId="3" borderId="6" xfId="4" applyNumberFormat="1" applyFont="1" applyFill="1" applyBorder="1"/>
    <xf numFmtId="0" fontId="30" fillId="0" borderId="0" xfId="4" applyFont="1" applyAlignment="1">
      <alignment horizontal="right"/>
    </xf>
    <xf numFmtId="9" fontId="29" fillId="4" borderId="28" xfId="5" applyFont="1" applyFill="1" applyBorder="1" applyAlignment="1">
      <alignment horizontal="center"/>
    </xf>
    <xf numFmtId="0" fontId="29" fillId="5" borderId="29" xfId="4" applyFont="1" applyFill="1" applyBorder="1" applyAlignment="1">
      <alignment horizontal="center"/>
    </xf>
    <xf numFmtId="164" fontId="29" fillId="4" borderId="28" xfId="4" applyNumberFormat="1" applyFont="1" applyFill="1" applyBorder="1" applyAlignment="1">
      <alignment horizontal="center"/>
    </xf>
    <xf numFmtId="14" fontId="29" fillId="0" borderId="0" xfId="4" quotePrefix="1" applyNumberFormat="1" applyFont="1"/>
    <xf numFmtId="49" fontId="30" fillId="3" borderId="20" xfId="4" applyNumberFormat="1" applyFont="1" applyFill="1" applyBorder="1"/>
    <xf numFmtId="0" fontId="29" fillId="0" borderId="0" xfId="4" applyFont="1" applyBorder="1" applyAlignment="1">
      <alignment horizontal="left" vertical="center" wrapText="1"/>
    </xf>
    <xf numFmtId="9" fontId="29" fillId="4" borderId="29" xfId="5" applyNumberFormat="1" applyFont="1" applyFill="1" applyBorder="1" applyAlignment="1">
      <alignment horizontal="center"/>
    </xf>
    <xf numFmtId="1" fontId="32" fillId="0" borderId="0" xfId="4" applyNumberFormat="1" applyFont="1"/>
    <xf numFmtId="1" fontId="32" fillId="0" borderId="0" xfId="4" applyNumberFormat="1" applyFont="1" applyAlignment="1">
      <alignment horizontal="left"/>
    </xf>
    <xf numFmtId="1" fontId="32" fillId="0" borderId="0" xfId="4" applyNumberFormat="1" applyFont="1" applyAlignment="1">
      <alignment horizontal="center"/>
    </xf>
    <xf numFmtId="1" fontId="31" fillId="0" borderId="0" xfId="4" applyNumberFormat="1" applyFont="1" applyAlignment="1">
      <alignment horizontal="left"/>
    </xf>
    <xf numFmtId="9" fontId="29" fillId="0" borderId="29" xfId="4" applyNumberFormat="1" applyFont="1" applyBorder="1" applyAlignment="1">
      <alignment horizontal="center"/>
    </xf>
    <xf numFmtId="1" fontId="31" fillId="0" borderId="29" xfId="4" applyNumberFormat="1" applyFont="1" applyBorder="1" applyAlignment="1">
      <alignment horizontal="center"/>
    </xf>
    <xf numFmtId="49" fontId="29" fillId="0" borderId="29" xfId="4" applyNumberFormat="1" applyFont="1" applyFill="1" applyBorder="1"/>
    <xf numFmtId="3" fontId="31" fillId="0" borderId="29" xfId="4" applyNumberFormat="1" applyFont="1" applyBorder="1"/>
    <xf numFmtId="49" fontId="30" fillId="0" borderId="0" xfId="4" applyNumberFormat="1" applyFont="1" applyFill="1" applyBorder="1"/>
    <xf numFmtId="1" fontId="44" fillId="0" borderId="0" xfId="0" applyNumberFormat="1" applyFont="1"/>
    <xf numFmtId="49" fontId="2" fillId="0" borderId="31" xfId="0" quotePrefix="1" applyNumberFormat="1" applyFont="1" applyFill="1" applyBorder="1"/>
    <xf numFmtId="1" fontId="9" fillId="0" borderId="32" xfId="0" applyNumberFormat="1" applyFont="1" applyBorder="1"/>
    <xf numFmtId="1" fontId="9" fillId="0" borderId="33" xfId="0" applyNumberFormat="1" applyFont="1" applyBorder="1"/>
    <xf numFmtId="1" fontId="9" fillId="0" borderId="34" xfId="0" applyNumberFormat="1" applyFont="1" applyBorder="1"/>
    <xf numFmtId="49" fontId="2" fillId="3" borderId="31" xfId="0" applyNumberFormat="1" applyFont="1" applyFill="1" applyBorder="1"/>
    <xf numFmtId="14" fontId="2" fillId="3" borderId="31" xfId="0" applyNumberFormat="1" applyFont="1" applyFill="1" applyBorder="1" applyAlignment="1">
      <alignment horizontal="center"/>
    </xf>
    <xf numFmtId="14" fontId="45" fillId="3" borderId="31" xfId="0" applyNumberFormat="1" applyFont="1" applyFill="1" applyBorder="1" applyAlignment="1">
      <alignment horizontal="center"/>
    </xf>
    <xf numFmtId="49" fontId="2" fillId="0" borderId="35" xfId="0" applyNumberFormat="1" applyFont="1" applyFill="1" applyBorder="1"/>
    <xf numFmtId="3" fontId="1" fillId="4" borderId="31" xfId="0" applyNumberFormat="1" applyFont="1" applyFill="1" applyBorder="1"/>
    <xf numFmtId="3" fontId="44" fillId="4" borderId="31" xfId="0" applyNumberFormat="1" applyFont="1" applyFill="1" applyBorder="1"/>
    <xf numFmtId="3" fontId="1" fillId="2" borderId="31" xfId="0" applyNumberFormat="1" applyFont="1" applyFill="1" applyBorder="1"/>
    <xf numFmtId="3" fontId="44" fillId="2" borderId="31" xfId="0" applyNumberFormat="1" applyFont="1" applyFill="1" applyBorder="1"/>
    <xf numFmtId="3" fontId="10" fillId="2" borderId="31" xfId="0" applyNumberFormat="1" applyFont="1" applyFill="1" applyBorder="1"/>
    <xf numFmtId="3" fontId="46" fillId="2" borderId="31" xfId="0" applyNumberFormat="1" applyFont="1" applyFill="1" applyBorder="1"/>
    <xf numFmtId="3" fontId="12" fillId="2" borderId="31" xfId="0" applyNumberFormat="1" applyFont="1" applyFill="1" applyBorder="1"/>
    <xf numFmtId="3" fontId="15" fillId="4" borderId="31" xfId="0" applyNumberFormat="1" applyFont="1" applyFill="1" applyBorder="1"/>
    <xf numFmtId="0" fontId="2" fillId="3" borderId="31" xfId="0" applyNumberFormat="1" applyFont="1" applyFill="1" applyBorder="1" applyAlignment="1">
      <alignment horizontal="center"/>
    </xf>
    <xf numFmtId="0" fontId="45" fillId="3" borderId="31" xfId="0" applyNumberFormat="1" applyFont="1" applyFill="1" applyBorder="1" applyAlignment="1">
      <alignment horizontal="center"/>
    </xf>
    <xf numFmtId="9" fontId="1" fillId="2" borderId="31" xfId="1" applyFont="1" applyFill="1" applyBorder="1"/>
    <xf numFmtId="9" fontId="44" fillId="2" borderId="31" xfId="1" applyFont="1" applyFill="1" applyBorder="1"/>
    <xf numFmtId="49" fontId="2" fillId="0" borderId="31" xfId="0" applyNumberFormat="1" applyFont="1" applyFill="1" applyBorder="1"/>
    <xf numFmtId="9" fontId="1" fillId="4" borderId="31" xfId="0" applyNumberFormat="1" applyFont="1" applyFill="1" applyBorder="1" applyAlignment="1">
      <alignment horizontal="center"/>
    </xf>
    <xf numFmtId="3" fontId="1" fillId="4" borderId="34" xfId="0" applyNumberFormat="1" applyFont="1" applyFill="1" applyBorder="1"/>
    <xf numFmtId="9" fontId="1" fillId="5" borderId="31" xfId="0" applyNumberFormat="1" applyFont="1" applyFill="1" applyBorder="1" applyAlignment="1">
      <alignment horizontal="center"/>
    </xf>
    <xf numFmtId="9" fontId="1" fillId="4" borderId="34" xfId="1" applyNumberFormat="1" applyFont="1" applyFill="1" applyBorder="1" applyAlignment="1">
      <alignment horizontal="center"/>
    </xf>
    <xf numFmtId="9" fontId="1" fillId="4" borderId="31" xfId="1" applyFont="1" applyFill="1" applyBorder="1" applyAlignment="1">
      <alignment horizontal="center"/>
    </xf>
    <xf numFmtId="9" fontId="44" fillId="4" borderId="31" xfId="1" applyFont="1" applyFill="1" applyBorder="1" applyAlignment="1">
      <alignment horizontal="center"/>
    </xf>
    <xf numFmtId="164" fontId="1" fillId="4" borderId="31" xfId="0" applyNumberFormat="1" applyFont="1" applyFill="1" applyBorder="1" applyAlignment="1">
      <alignment horizontal="center"/>
    </xf>
    <xf numFmtId="164" fontId="44" fillId="4" borderId="31" xfId="0" applyNumberFormat="1" applyFont="1" applyFill="1" applyBorder="1" applyAlignment="1">
      <alignment horizontal="center"/>
    </xf>
    <xf numFmtId="3" fontId="44" fillId="4" borderId="34" xfId="0" applyNumberFormat="1" applyFont="1" applyFill="1" applyBorder="1"/>
    <xf numFmtId="165" fontId="1" fillId="4" borderId="34" xfId="1" applyNumberFormat="1" applyFont="1" applyFill="1" applyBorder="1" applyAlignment="1">
      <alignment horizontal="center"/>
    </xf>
    <xf numFmtId="165" fontId="1" fillId="4" borderId="31" xfId="1" applyNumberFormat="1" applyFont="1" applyFill="1" applyBorder="1" applyAlignment="1">
      <alignment horizontal="center"/>
    </xf>
    <xf numFmtId="165" fontId="44" fillId="4" borderId="31" xfId="1" applyNumberFormat="1" applyFont="1" applyFill="1" applyBorder="1" applyAlignment="1">
      <alignment horizontal="center"/>
    </xf>
    <xf numFmtId="9" fontId="1" fillId="4" borderId="34" xfId="1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164" fontId="1" fillId="4" borderId="34" xfId="0" applyNumberFormat="1" applyFont="1" applyFill="1" applyBorder="1" applyAlignment="1">
      <alignment horizontal="center"/>
    </xf>
    <xf numFmtId="164" fontId="44" fillId="4" borderId="34" xfId="0" applyNumberFormat="1" applyFont="1" applyFill="1" applyBorder="1" applyAlignment="1">
      <alignment horizontal="center"/>
    </xf>
    <xf numFmtId="9" fontId="44" fillId="4" borderId="34" xfId="1" applyFont="1" applyFill="1" applyBorder="1" applyAlignment="1">
      <alignment horizontal="center"/>
    </xf>
    <xf numFmtId="9" fontId="1" fillId="4" borderId="31" xfId="1" applyNumberFormat="1" applyFont="1" applyFill="1" applyBorder="1" applyAlignment="1">
      <alignment horizontal="center"/>
    </xf>
    <xf numFmtId="9" fontId="44" fillId="4" borderId="31" xfId="1" applyNumberFormat="1" applyFont="1" applyFill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0" fontId="44" fillId="0" borderId="0" xfId="0" applyFont="1"/>
    <xf numFmtId="49" fontId="1" fillId="0" borderId="31" xfId="0" applyNumberFormat="1" applyFont="1" applyFill="1" applyBorder="1"/>
    <xf numFmtId="3" fontId="8" fillId="0" borderId="31" xfId="0" applyNumberFormat="1" applyFont="1" applyBorder="1"/>
    <xf numFmtId="3" fontId="44" fillId="0" borderId="31" xfId="0" applyNumberFormat="1" applyFont="1" applyBorder="1"/>
    <xf numFmtId="49" fontId="44" fillId="0" borderId="0" xfId="0" applyNumberFormat="1" applyFont="1" applyFill="1"/>
    <xf numFmtId="49" fontId="45" fillId="0" borderId="0" xfId="0" applyNumberFormat="1" applyFont="1" applyFill="1" applyBorder="1"/>
    <xf numFmtId="49" fontId="45" fillId="0" borderId="0" xfId="0" applyNumberFormat="1" applyFont="1" applyFill="1"/>
    <xf numFmtId="49" fontId="2" fillId="0" borderId="36" xfId="0" quotePrefix="1" applyNumberFormat="1" applyFont="1" applyFill="1" applyBorder="1"/>
    <xf numFmtId="1" fontId="9" fillId="0" borderId="37" xfId="0" applyNumberFormat="1" applyFont="1" applyBorder="1"/>
    <xf numFmtId="1" fontId="9" fillId="0" borderId="38" xfId="0" applyNumberFormat="1" applyFont="1" applyBorder="1"/>
    <xf numFmtId="1" fontId="9" fillId="0" borderId="39" xfId="0" applyNumberFormat="1" applyFont="1" applyBorder="1"/>
    <xf numFmtId="49" fontId="2" fillId="3" borderId="36" xfId="0" applyNumberFormat="1" applyFont="1" applyFill="1" applyBorder="1"/>
    <xf numFmtId="14" fontId="2" fillId="3" borderId="36" xfId="0" applyNumberFormat="1" applyFont="1" applyFill="1" applyBorder="1" applyAlignment="1">
      <alignment horizontal="center"/>
    </xf>
    <xf numFmtId="49" fontId="2" fillId="0" borderId="40" xfId="0" applyNumberFormat="1" applyFont="1" applyFill="1" applyBorder="1"/>
    <xf numFmtId="3" fontId="1" fillId="4" borderId="36" xfId="0" applyNumberFormat="1" applyFont="1" applyFill="1" applyBorder="1"/>
    <xf numFmtId="3" fontId="1" fillId="2" borderId="36" xfId="0" applyNumberFormat="1" applyFont="1" applyFill="1" applyBorder="1"/>
    <xf numFmtId="3" fontId="10" fillId="2" borderId="36" xfId="0" applyNumberFormat="1" applyFont="1" applyFill="1" applyBorder="1"/>
    <xf numFmtId="3" fontId="12" fillId="2" borderId="36" xfId="0" applyNumberFormat="1" applyFont="1" applyFill="1" applyBorder="1"/>
    <xf numFmtId="3" fontId="15" fillId="4" borderId="36" xfId="0" applyNumberFormat="1" applyFont="1" applyFill="1" applyBorder="1"/>
    <xf numFmtId="0" fontId="2" fillId="3" borderId="36" xfId="0" applyNumberFormat="1" applyFont="1" applyFill="1" applyBorder="1" applyAlignment="1">
      <alignment horizontal="center"/>
    </xf>
    <xf numFmtId="9" fontId="1" fillId="2" borderId="36" xfId="1" applyFont="1" applyFill="1" applyBorder="1"/>
    <xf numFmtId="49" fontId="2" fillId="0" borderId="36" xfId="0" applyNumberFormat="1" applyFont="1" applyFill="1" applyBorder="1"/>
    <xf numFmtId="9" fontId="1" fillId="4" borderId="36" xfId="0" applyNumberFormat="1" applyFont="1" applyFill="1" applyBorder="1" applyAlignment="1">
      <alignment horizontal="center"/>
    </xf>
    <xf numFmtId="3" fontId="1" fillId="4" borderId="39" xfId="0" applyNumberFormat="1" applyFont="1" applyFill="1" applyBorder="1"/>
    <xf numFmtId="9" fontId="1" fillId="5" borderId="36" xfId="0" applyNumberFormat="1" applyFont="1" applyFill="1" applyBorder="1" applyAlignment="1">
      <alignment horizontal="center"/>
    </xf>
    <xf numFmtId="9" fontId="1" fillId="4" borderId="39" xfId="1" applyNumberFormat="1" applyFont="1" applyFill="1" applyBorder="1" applyAlignment="1">
      <alignment horizontal="center"/>
    </xf>
    <xf numFmtId="9" fontId="1" fillId="4" borderId="36" xfId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165" fontId="1" fillId="4" borderId="39" xfId="1" applyNumberFormat="1" applyFont="1" applyFill="1" applyBorder="1" applyAlignment="1">
      <alignment horizontal="center"/>
    </xf>
    <xf numFmtId="165" fontId="1" fillId="4" borderId="36" xfId="1" applyNumberFormat="1" applyFont="1" applyFill="1" applyBorder="1" applyAlignment="1">
      <alignment horizontal="center"/>
    </xf>
    <xf numFmtId="9" fontId="1" fillId="4" borderId="39" xfId="1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164" fontId="1" fillId="4" borderId="39" xfId="0" applyNumberFormat="1" applyFont="1" applyFill="1" applyBorder="1" applyAlignment="1">
      <alignment horizontal="center"/>
    </xf>
    <xf numFmtId="9" fontId="1" fillId="4" borderId="36" xfId="1" applyNumberFormat="1" applyFont="1" applyFill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49" fontId="1" fillId="0" borderId="36" xfId="0" applyNumberFormat="1" applyFont="1" applyFill="1" applyBorder="1"/>
    <xf numFmtId="3" fontId="8" fillId="0" borderId="36" xfId="0" applyNumberFormat="1" applyFont="1" applyBorder="1"/>
    <xf numFmtId="49" fontId="2" fillId="0" borderId="41" xfId="0" quotePrefix="1" applyNumberFormat="1" applyFont="1" applyFill="1" applyBorder="1"/>
    <xf numFmtId="1" fontId="9" fillId="0" borderId="42" xfId="0" applyNumberFormat="1" applyFont="1" applyBorder="1"/>
    <xf numFmtId="1" fontId="9" fillId="0" borderId="43" xfId="0" applyNumberFormat="1" applyFont="1" applyBorder="1"/>
    <xf numFmtId="1" fontId="9" fillId="0" borderId="44" xfId="0" applyNumberFormat="1" applyFont="1" applyBorder="1"/>
    <xf numFmtId="49" fontId="2" fillId="3" borderId="41" xfId="0" applyNumberFormat="1" applyFont="1" applyFill="1" applyBorder="1"/>
    <xf numFmtId="14" fontId="2" fillId="3" borderId="41" xfId="0" applyNumberFormat="1" applyFont="1" applyFill="1" applyBorder="1" applyAlignment="1">
      <alignment horizontal="center"/>
    </xf>
    <xf numFmtId="49" fontId="2" fillId="0" borderId="45" xfId="0" applyNumberFormat="1" applyFont="1" applyFill="1" applyBorder="1"/>
    <xf numFmtId="3" fontId="1" fillId="4" borderId="41" xfId="0" applyNumberFormat="1" applyFont="1" applyFill="1" applyBorder="1"/>
    <xf numFmtId="3" fontId="1" fillId="2" borderId="41" xfId="0" applyNumberFormat="1" applyFont="1" applyFill="1" applyBorder="1"/>
    <xf numFmtId="3" fontId="10" fillId="2" borderId="41" xfId="0" applyNumberFormat="1" applyFont="1" applyFill="1" applyBorder="1"/>
    <xf numFmtId="3" fontId="12" fillId="2" borderId="41" xfId="0" applyNumberFormat="1" applyFont="1" applyFill="1" applyBorder="1"/>
    <xf numFmtId="3" fontId="15" fillId="4" borderId="41" xfId="0" applyNumberFormat="1" applyFont="1" applyFill="1" applyBorder="1"/>
    <xf numFmtId="0" fontId="2" fillId="3" borderId="41" xfId="0" applyNumberFormat="1" applyFont="1" applyFill="1" applyBorder="1" applyAlignment="1">
      <alignment horizontal="center"/>
    </xf>
    <xf numFmtId="2" fontId="8" fillId="0" borderId="0" xfId="0" applyNumberFormat="1" applyFont="1"/>
    <xf numFmtId="0" fontId="8" fillId="0" borderId="0" xfId="0" applyFont="1" applyFill="1"/>
    <xf numFmtId="0" fontId="8" fillId="0" borderId="0" xfId="0" applyFont="1" applyAlignment="1">
      <alignment horizontal="left"/>
    </xf>
    <xf numFmtId="0" fontId="47" fillId="0" borderId="0" xfId="0" quotePrefix="1" applyFont="1" applyAlignment="1">
      <alignment horizontal="center"/>
    </xf>
    <xf numFmtId="49" fontId="9" fillId="0" borderId="6" xfId="0" applyNumberFormat="1" applyFont="1" applyFill="1" applyBorder="1"/>
    <xf numFmtId="3" fontId="8" fillId="2" borderId="41" xfId="0" applyNumberFormat="1" applyFont="1" applyFill="1" applyBorder="1"/>
    <xf numFmtId="3" fontId="2" fillId="2" borderId="41" xfId="0" applyNumberFormat="1" applyFont="1" applyFill="1" applyBorder="1"/>
    <xf numFmtId="0" fontId="8" fillId="0" borderId="0" xfId="0" applyFont="1"/>
    <xf numFmtId="9" fontId="1" fillId="2" borderId="41" xfId="1" applyFont="1" applyFill="1" applyBorder="1"/>
    <xf numFmtId="49" fontId="2" fillId="0" borderId="41" xfId="0" applyNumberFormat="1" applyFont="1" applyFill="1" applyBorder="1"/>
    <xf numFmtId="9" fontId="1" fillId="4" borderId="41" xfId="0" applyNumberFormat="1" applyFont="1" applyFill="1" applyBorder="1" applyAlignment="1">
      <alignment horizontal="center"/>
    </xf>
    <xf numFmtId="3" fontId="1" fillId="4" borderId="44" xfId="0" applyNumberFormat="1" applyFont="1" applyFill="1" applyBorder="1"/>
    <xf numFmtId="9" fontId="1" fillId="5" borderId="41" xfId="0" applyNumberFormat="1" applyFont="1" applyFill="1" applyBorder="1" applyAlignment="1">
      <alignment horizontal="center"/>
    </xf>
    <xf numFmtId="9" fontId="1" fillId="4" borderId="44" xfId="1" applyNumberFormat="1" applyFont="1" applyFill="1" applyBorder="1" applyAlignment="1">
      <alignment horizontal="center"/>
    </xf>
    <xf numFmtId="9" fontId="1" fillId="4" borderId="41" xfId="1" applyFont="1" applyFill="1" applyBorder="1" applyAlignment="1">
      <alignment horizontal="center"/>
    </xf>
    <xf numFmtId="164" fontId="1" fillId="4" borderId="41" xfId="0" applyNumberFormat="1" applyFont="1" applyFill="1" applyBorder="1" applyAlignment="1">
      <alignment horizontal="center"/>
    </xf>
    <xf numFmtId="165" fontId="1" fillId="4" borderId="44" xfId="1" applyNumberFormat="1" applyFont="1" applyFill="1" applyBorder="1" applyAlignment="1">
      <alignment horizontal="center"/>
    </xf>
    <xf numFmtId="165" fontId="1" fillId="4" borderId="41" xfId="1" applyNumberFormat="1" applyFont="1" applyFill="1" applyBorder="1" applyAlignment="1">
      <alignment horizontal="center"/>
    </xf>
    <xf numFmtId="9" fontId="1" fillId="4" borderId="44" xfId="1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164" fontId="1" fillId="4" borderId="44" xfId="0" applyNumberFormat="1" applyFont="1" applyFill="1" applyBorder="1" applyAlignment="1">
      <alignment horizontal="center"/>
    </xf>
    <xf numFmtId="9" fontId="1" fillId="4" borderId="41" xfId="1" applyNumberFormat="1" applyFont="1" applyFill="1" applyBorder="1" applyAlignment="1">
      <alignment horizontal="center"/>
    </xf>
    <xf numFmtId="9" fontId="1" fillId="0" borderId="41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49" fontId="1" fillId="0" borderId="41" xfId="0" applyNumberFormat="1" applyFont="1" applyFill="1" applyBorder="1"/>
    <xf numFmtId="3" fontId="8" fillId="0" borderId="41" xfId="0" applyNumberFormat="1" applyFont="1" applyBorder="1"/>
    <xf numFmtId="49" fontId="2" fillId="0" borderId="46" xfId="0" quotePrefix="1" applyNumberFormat="1" applyFont="1" applyFill="1" applyBorder="1"/>
    <xf numFmtId="1" fontId="9" fillId="0" borderId="47" xfId="0" applyNumberFormat="1" applyFont="1" applyBorder="1"/>
    <xf numFmtId="1" fontId="9" fillId="0" borderId="48" xfId="0" applyNumberFormat="1" applyFont="1" applyBorder="1"/>
    <xf numFmtId="1" fontId="9" fillId="0" borderId="49" xfId="0" applyNumberFormat="1" applyFont="1" applyBorder="1"/>
    <xf numFmtId="49" fontId="2" fillId="3" borderId="46" xfId="0" applyNumberFormat="1" applyFont="1" applyFill="1" applyBorder="1"/>
    <xf numFmtId="14" fontId="2" fillId="3" borderId="46" xfId="0" applyNumberFormat="1" applyFont="1" applyFill="1" applyBorder="1" applyAlignment="1">
      <alignment horizontal="center"/>
    </xf>
    <xf numFmtId="49" fontId="2" fillId="0" borderId="50" xfId="0" applyNumberFormat="1" applyFont="1" applyFill="1" applyBorder="1"/>
    <xf numFmtId="3" fontId="1" fillId="4" borderId="46" xfId="0" applyNumberFormat="1" applyFont="1" applyFill="1" applyBorder="1"/>
    <xf numFmtId="3" fontId="1" fillId="2" borderId="46" xfId="0" applyNumberFormat="1" applyFont="1" applyFill="1" applyBorder="1"/>
    <xf numFmtId="3" fontId="10" fillId="2" borderId="46" xfId="0" applyNumberFormat="1" applyFont="1" applyFill="1" applyBorder="1"/>
    <xf numFmtId="3" fontId="12" fillId="2" borderId="46" xfId="0" applyNumberFormat="1" applyFont="1" applyFill="1" applyBorder="1"/>
    <xf numFmtId="3" fontId="15" fillId="4" borderId="46" xfId="0" applyNumberFormat="1" applyFont="1" applyFill="1" applyBorder="1"/>
    <xf numFmtId="0" fontId="2" fillId="3" borderId="46" xfId="0" applyNumberFormat="1" applyFont="1" applyFill="1" applyBorder="1" applyAlignment="1">
      <alignment horizontal="center"/>
    </xf>
    <xf numFmtId="9" fontId="1" fillId="2" borderId="46" xfId="1" applyFont="1" applyFill="1" applyBorder="1"/>
    <xf numFmtId="49" fontId="2" fillId="0" borderId="46" xfId="0" applyNumberFormat="1" applyFont="1" applyFill="1" applyBorder="1"/>
    <xf numFmtId="9" fontId="1" fillId="4" borderId="46" xfId="0" applyNumberFormat="1" applyFont="1" applyFill="1" applyBorder="1" applyAlignment="1">
      <alignment horizontal="center"/>
    </xf>
    <xf numFmtId="3" fontId="1" fillId="4" borderId="49" xfId="0" applyNumberFormat="1" applyFont="1" applyFill="1" applyBorder="1"/>
    <xf numFmtId="9" fontId="1" fillId="5" borderId="46" xfId="0" applyNumberFormat="1" applyFont="1" applyFill="1" applyBorder="1" applyAlignment="1">
      <alignment horizontal="center"/>
    </xf>
    <xf numFmtId="9" fontId="1" fillId="4" borderId="49" xfId="1" applyNumberFormat="1" applyFont="1" applyFill="1" applyBorder="1" applyAlignment="1">
      <alignment horizontal="center"/>
    </xf>
    <xf numFmtId="9" fontId="1" fillId="4" borderId="46" xfId="1" applyFont="1" applyFill="1" applyBorder="1" applyAlignment="1">
      <alignment horizontal="center"/>
    </xf>
    <xf numFmtId="164" fontId="1" fillId="4" borderId="46" xfId="0" applyNumberFormat="1" applyFont="1" applyFill="1" applyBorder="1" applyAlignment="1">
      <alignment horizontal="center"/>
    </xf>
    <xf numFmtId="165" fontId="1" fillId="4" borderId="49" xfId="1" applyNumberFormat="1" applyFont="1" applyFill="1" applyBorder="1" applyAlignment="1">
      <alignment horizontal="center"/>
    </xf>
    <xf numFmtId="165" fontId="1" fillId="4" borderId="46" xfId="1" applyNumberFormat="1" applyFont="1" applyFill="1" applyBorder="1" applyAlignment="1">
      <alignment horizontal="center"/>
    </xf>
    <xf numFmtId="9" fontId="1" fillId="4" borderId="49" xfId="1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164" fontId="1" fillId="4" borderId="49" xfId="0" applyNumberFormat="1" applyFont="1" applyFill="1" applyBorder="1" applyAlignment="1">
      <alignment horizontal="center"/>
    </xf>
    <xf numFmtId="9" fontId="1" fillId="4" borderId="46" xfId="1" applyNumberFormat="1" applyFont="1" applyFill="1" applyBorder="1" applyAlignment="1">
      <alignment horizontal="center"/>
    </xf>
    <xf numFmtId="9" fontId="1" fillId="0" borderId="46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49" fontId="1" fillId="0" borderId="46" xfId="0" applyNumberFormat="1" applyFont="1" applyFill="1" applyBorder="1"/>
    <xf numFmtId="3" fontId="8" fillId="0" borderId="46" xfId="0" applyNumberFormat="1" applyFont="1" applyBorder="1"/>
    <xf numFmtId="49" fontId="2" fillId="0" borderId="51" xfId="0" quotePrefix="1" applyNumberFormat="1" applyFont="1" applyFill="1" applyBorder="1"/>
    <xf numFmtId="1" fontId="9" fillId="0" borderId="51" xfId="0" applyNumberFormat="1" applyFont="1" applyBorder="1"/>
    <xf numFmtId="1" fontId="9" fillId="0" borderId="52" xfId="0" applyNumberFormat="1" applyFont="1" applyBorder="1"/>
    <xf numFmtId="49" fontId="2" fillId="3" borderId="54" xfId="0" applyNumberFormat="1" applyFont="1" applyFill="1" applyBorder="1"/>
    <xf numFmtId="14" fontId="2" fillId="3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/>
    <xf numFmtId="3" fontId="1" fillId="4" borderId="54" xfId="0" applyNumberFormat="1" applyFont="1" applyFill="1" applyBorder="1"/>
    <xf numFmtId="3" fontId="1" fillId="2" borderId="54" xfId="0" applyNumberFormat="1" applyFont="1" applyFill="1" applyBorder="1"/>
    <xf numFmtId="3" fontId="10" fillId="2" borderId="54" xfId="0" applyNumberFormat="1" applyFont="1" applyFill="1" applyBorder="1"/>
    <xf numFmtId="3" fontId="12" fillId="2" borderId="54" xfId="0" applyNumberFormat="1" applyFont="1" applyFill="1" applyBorder="1"/>
    <xf numFmtId="3" fontId="15" fillId="4" borderId="54" xfId="0" applyNumberFormat="1" applyFont="1" applyFill="1" applyBorder="1"/>
    <xf numFmtId="0" fontId="2" fillId="3" borderId="54" xfId="0" applyNumberFormat="1" applyFont="1" applyFill="1" applyBorder="1" applyAlignment="1">
      <alignment horizontal="center"/>
    </xf>
    <xf numFmtId="9" fontId="1" fillId="2" borderId="54" xfId="1" applyFont="1" applyFill="1" applyBorder="1"/>
    <xf numFmtId="49" fontId="2" fillId="0" borderId="54" xfId="0" applyNumberFormat="1" applyFont="1" applyFill="1" applyBorder="1"/>
    <xf numFmtId="9" fontId="1" fillId="4" borderId="54" xfId="0" applyNumberFormat="1" applyFont="1" applyFill="1" applyBorder="1" applyAlignment="1">
      <alignment horizontal="center"/>
    </xf>
    <xf numFmtId="3" fontId="1" fillId="4" borderId="53" xfId="0" applyNumberFormat="1" applyFont="1" applyFill="1" applyBorder="1"/>
    <xf numFmtId="9" fontId="1" fillId="5" borderId="54" xfId="0" applyNumberFormat="1" applyFont="1" applyFill="1" applyBorder="1" applyAlignment="1">
      <alignment horizontal="center"/>
    </xf>
    <xf numFmtId="9" fontId="1" fillId="4" borderId="53" xfId="1" applyNumberFormat="1" applyFont="1" applyFill="1" applyBorder="1" applyAlignment="1">
      <alignment horizontal="center"/>
    </xf>
    <xf numFmtId="9" fontId="1" fillId="4" borderId="54" xfId="1" applyFont="1" applyFill="1" applyBorder="1" applyAlignment="1">
      <alignment horizontal="center"/>
    </xf>
    <xf numFmtId="164" fontId="1" fillId="4" borderId="54" xfId="0" applyNumberFormat="1" applyFont="1" applyFill="1" applyBorder="1" applyAlignment="1">
      <alignment horizontal="center"/>
    </xf>
    <xf numFmtId="165" fontId="1" fillId="4" borderId="53" xfId="1" applyNumberFormat="1" applyFont="1" applyFill="1" applyBorder="1" applyAlignment="1">
      <alignment horizontal="center"/>
    </xf>
    <xf numFmtId="165" fontId="1" fillId="4" borderId="54" xfId="1" applyNumberFormat="1" applyFont="1" applyFill="1" applyBorder="1" applyAlignment="1">
      <alignment horizontal="center"/>
    </xf>
    <xf numFmtId="9" fontId="1" fillId="4" borderId="53" xfId="1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164" fontId="1" fillId="4" borderId="53" xfId="0" applyNumberFormat="1" applyFont="1" applyFill="1" applyBorder="1" applyAlignment="1">
      <alignment horizontal="center"/>
    </xf>
    <xf numFmtId="9" fontId="1" fillId="4" borderId="54" xfId="1" applyNumberFormat="1" applyFont="1" applyFill="1" applyBorder="1" applyAlignment="1">
      <alignment horizontal="center"/>
    </xf>
    <xf numFmtId="9" fontId="1" fillId="0" borderId="54" xfId="0" applyNumberFormat="1" applyFont="1" applyBorder="1" applyAlignment="1">
      <alignment horizontal="center"/>
    </xf>
    <xf numFmtId="1" fontId="8" fillId="0" borderId="54" xfId="0" applyNumberFormat="1" applyFont="1" applyBorder="1" applyAlignment="1">
      <alignment horizontal="center"/>
    </xf>
    <xf numFmtId="49" fontId="1" fillId="0" borderId="54" xfId="0" applyNumberFormat="1" applyFont="1" applyFill="1" applyBorder="1"/>
    <xf numFmtId="3" fontId="8" fillId="0" borderId="54" xfId="0" applyNumberFormat="1" applyFont="1" applyBorder="1"/>
    <xf numFmtId="49" fontId="2" fillId="0" borderId="56" xfId="0" quotePrefix="1" applyNumberFormat="1" applyFont="1" applyFill="1" applyBorder="1"/>
    <xf numFmtId="1" fontId="9" fillId="0" borderId="57" xfId="0" applyNumberFormat="1" applyFont="1" applyBorder="1"/>
    <xf numFmtId="1" fontId="9" fillId="0" borderId="58" xfId="0" applyNumberFormat="1" applyFont="1" applyBorder="1"/>
    <xf numFmtId="1" fontId="9" fillId="0" borderId="59" xfId="0" applyNumberFormat="1" applyFont="1" applyBorder="1"/>
    <xf numFmtId="49" fontId="2" fillId="3" borderId="56" xfId="0" applyNumberFormat="1" applyFont="1" applyFill="1" applyBorder="1"/>
    <xf numFmtId="14" fontId="2" fillId="3" borderId="56" xfId="0" applyNumberFormat="1" applyFont="1" applyFill="1" applyBorder="1" applyAlignment="1">
      <alignment horizontal="center"/>
    </xf>
    <xf numFmtId="49" fontId="2" fillId="0" borderId="60" xfId="0" applyNumberFormat="1" applyFont="1" applyFill="1" applyBorder="1"/>
    <xf numFmtId="3" fontId="1" fillId="4" borderId="56" xfId="0" applyNumberFormat="1" applyFont="1" applyFill="1" applyBorder="1"/>
    <xf numFmtId="3" fontId="1" fillId="2" borderId="56" xfId="0" applyNumberFormat="1" applyFont="1" applyFill="1" applyBorder="1"/>
    <xf numFmtId="3" fontId="10" fillId="2" borderId="56" xfId="0" applyNumberFormat="1" applyFont="1" applyFill="1" applyBorder="1"/>
    <xf numFmtId="3" fontId="12" fillId="2" borderId="56" xfId="0" applyNumberFormat="1" applyFont="1" applyFill="1" applyBorder="1"/>
    <xf numFmtId="3" fontId="15" fillId="4" borderId="56" xfId="0" applyNumberFormat="1" applyFont="1" applyFill="1" applyBorder="1"/>
    <xf numFmtId="0" fontId="2" fillId="3" borderId="56" xfId="0" applyNumberFormat="1" applyFont="1" applyFill="1" applyBorder="1" applyAlignment="1">
      <alignment horizontal="center"/>
    </xf>
    <xf numFmtId="9" fontId="1" fillId="2" borderId="56" xfId="1" applyFont="1" applyFill="1" applyBorder="1"/>
    <xf numFmtId="49" fontId="2" fillId="0" borderId="56" xfId="0" applyNumberFormat="1" applyFont="1" applyFill="1" applyBorder="1"/>
    <xf numFmtId="9" fontId="1" fillId="4" borderId="56" xfId="0" applyNumberFormat="1" applyFont="1" applyFill="1" applyBorder="1" applyAlignment="1">
      <alignment horizontal="center"/>
    </xf>
    <xf numFmtId="3" fontId="1" fillId="4" borderId="59" xfId="0" applyNumberFormat="1" applyFont="1" applyFill="1" applyBorder="1"/>
    <xf numFmtId="9" fontId="1" fillId="5" borderId="56" xfId="0" applyNumberFormat="1" applyFont="1" applyFill="1" applyBorder="1" applyAlignment="1">
      <alignment horizontal="center"/>
    </xf>
    <xf numFmtId="9" fontId="1" fillId="4" borderId="59" xfId="1" applyNumberFormat="1" applyFont="1" applyFill="1" applyBorder="1" applyAlignment="1">
      <alignment horizontal="center"/>
    </xf>
    <xf numFmtId="9" fontId="1" fillId="4" borderId="56" xfId="1" applyFont="1" applyFill="1" applyBorder="1" applyAlignment="1">
      <alignment horizontal="center"/>
    </xf>
    <xf numFmtId="164" fontId="1" fillId="4" borderId="56" xfId="0" applyNumberFormat="1" applyFont="1" applyFill="1" applyBorder="1" applyAlignment="1">
      <alignment horizontal="center"/>
    </xf>
    <xf numFmtId="165" fontId="1" fillId="4" borderId="59" xfId="1" applyNumberFormat="1" applyFont="1" applyFill="1" applyBorder="1" applyAlignment="1">
      <alignment horizontal="center"/>
    </xf>
    <xf numFmtId="165" fontId="1" fillId="4" borderId="56" xfId="1" applyNumberFormat="1" applyFont="1" applyFill="1" applyBorder="1" applyAlignment="1">
      <alignment horizontal="center"/>
    </xf>
    <xf numFmtId="9" fontId="1" fillId="4" borderId="59" xfId="1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164" fontId="1" fillId="4" borderId="59" xfId="0" applyNumberFormat="1" applyFont="1" applyFill="1" applyBorder="1" applyAlignment="1">
      <alignment horizontal="center"/>
    </xf>
    <xf numFmtId="9" fontId="1" fillId="4" borderId="56" xfId="1" applyNumberFormat="1" applyFont="1" applyFill="1" applyBorder="1" applyAlignment="1">
      <alignment horizontal="center"/>
    </xf>
    <xf numFmtId="9" fontId="1" fillId="0" borderId="56" xfId="0" applyNumberFormat="1" applyFont="1" applyBorder="1" applyAlignment="1">
      <alignment horizontal="center"/>
    </xf>
    <xf numFmtId="1" fontId="8" fillId="0" borderId="56" xfId="0" applyNumberFormat="1" applyFont="1" applyBorder="1" applyAlignment="1">
      <alignment horizontal="center"/>
    </xf>
    <xf numFmtId="49" fontId="1" fillId="0" borderId="56" xfId="0" applyNumberFormat="1" applyFont="1" applyFill="1" applyBorder="1"/>
    <xf numFmtId="3" fontId="8" fillId="0" borderId="56" xfId="0" applyNumberFormat="1" applyFont="1" applyBorder="1"/>
    <xf numFmtId="49" fontId="2" fillId="0" borderId="61" xfId="0" quotePrefix="1" applyNumberFormat="1" applyFont="1" applyFill="1" applyBorder="1"/>
    <xf numFmtId="1" fontId="9" fillId="0" borderId="62" xfId="0" applyNumberFormat="1" applyFont="1" applyBorder="1"/>
    <xf numFmtId="1" fontId="9" fillId="0" borderId="63" xfId="0" applyNumberFormat="1" applyFont="1" applyBorder="1"/>
    <xf numFmtId="1" fontId="9" fillId="0" borderId="64" xfId="0" applyNumberFormat="1" applyFont="1" applyBorder="1"/>
    <xf numFmtId="49" fontId="2" fillId="3" borderId="61" xfId="0" applyNumberFormat="1" applyFont="1" applyFill="1" applyBorder="1"/>
    <xf numFmtId="14" fontId="2" fillId="3" borderId="61" xfId="0" applyNumberFormat="1" applyFont="1" applyFill="1" applyBorder="1" applyAlignment="1">
      <alignment horizontal="center"/>
    </xf>
    <xf numFmtId="49" fontId="2" fillId="0" borderId="65" xfId="0" applyNumberFormat="1" applyFont="1" applyFill="1" applyBorder="1"/>
    <xf numFmtId="3" fontId="1" fillId="4" borderId="61" xfId="0" applyNumberFormat="1" applyFont="1" applyFill="1" applyBorder="1"/>
    <xf numFmtId="3" fontId="1" fillId="2" borderId="61" xfId="0" applyNumberFormat="1" applyFont="1" applyFill="1" applyBorder="1"/>
    <xf numFmtId="3" fontId="10" fillId="2" borderId="61" xfId="0" applyNumberFormat="1" applyFont="1" applyFill="1" applyBorder="1"/>
    <xf numFmtId="3" fontId="12" fillId="2" borderId="61" xfId="0" applyNumberFormat="1" applyFont="1" applyFill="1" applyBorder="1"/>
    <xf numFmtId="3" fontId="15" fillId="4" borderId="61" xfId="0" applyNumberFormat="1" applyFont="1" applyFill="1" applyBorder="1"/>
    <xf numFmtId="0" fontId="2" fillId="3" borderId="61" xfId="0" applyNumberFormat="1" applyFont="1" applyFill="1" applyBorder="1" applyAlignment="1">
      <alignment horizontal="center"/>
    </xf>
    <xf numFmtId="9" fontId="1" fillId="2" borderId="61" xfId="1" applyFont="1" applyFill="1" applyBorder="1"/>
    <xf numFmtId="49" fontId="2" fillId="0" borderId="61" xfId="0" applyNumberFormat="1" applyFont="1" applyFill="1" applyBorder="1"/>
    <xf numFmtId="9" fontId="1" fillId="4" borderId="61" xfId="0" applyNumberFormat="1" applyFont="1" applyFill="1" applyBorder="1" applyAlignment="1">
      <alignment horizontal="center"/>
    </xf>
    <xf numFmtId="3" fontId="1" fillId="4" borderId="64" xfId="0" applyNumberFormat="1" applyFont="1" applyFill="1" applyBorder="1"/>
    <xf numFmtId="9" fontId="1" fillId="5" borderId="61" xfId="0" applyNumberFormat="1" applyFont="1" applyFill="1" applyBorder="1" applyAlignment="1">
      <alignment horizontal="center"/>
    </xf>
    <xf numFmtId="9" fontId="1" fillId="4" borderId="64" xfId="1" applyNumberFormat="1" applyFont="1" applyFill="1" applyBorder="1" applyAlignment="1">
      <alignment horizontal="center"/>
    </xf>
    <xf numFmtId="9" fontId="1" fillId="4" borderId="61" xfId="1" applyFont="1" applyFill="1" applyBorder="1" applyAlignment="1">
      <alignment horizontal="center"/>
    </xf>
    <xf numFmtId="164" fontId="1" fillId="4" borderId="61" xfId="0" applyNumberFormat="1" applyFont="1" applyFill="1" applyBorder="1" applyAlignment="1">
      <alignment horizontal="center"/>
    </xf>
    <xf numFmtId="165" fontId="1" fillId="4" borderId="64" xfId="1" applyNumberFormat="1" applyFont="1" applyFill="1" applyBorder="1" applyAlignment="1">
      <alignment horizontal="center"/>
    </xf>
    <xf numFmtId="165" fontId="1" fillId="4" borderId="61" xfId="1" applyNumberFormat="1" applyFont="1" applyFill="1" applyBorder="1" applyAlignment="1">
      <alignment horizontal="center"/>
    </xf>
    <xf numFmtId="9" fontId="1" fillId="4" borderId="64" xfId="1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164" fontId="1" fillId="4" borderId="64" xfId="0" applyNumberFormat="1" applyFont="1" applyFill="1" applyBorder="1" applyAlignment="1">
      <alignment horizontal="center"/>
    </xf>
    <xf numFmtId="9" fontId="1" fillId="4" borderId="61" xfId="1" applyNumberFormat="1" applyFont="1" applyFill="1" applyBorder="1" applyAlignment="1">
      <alignment horizontal="center"/>
    </xf>
    <xf numFmtId="9" fontId="1" fillId="0" borderId="61" xfId="0" applyNumberFormat="1" applyFont="1" applyBorder="1" applyAlignment="1">
      <alignment horizontal="center"/>
    </xf>
    <xf numFmtId="1" fontId="8" fillId="0" borderId="61" xfId="0" applyNumberFormat="1" applyFont="1" applyBorder="1" applyAlignment="1">
      <alignment horizontal="center"/>
    </xf>
    <xf numFmtId="49" fontId="1" fillId="0" borderId="61" xfId="0" applyNumberFormat="1" applyFont="1" applyFill="1" applyBorder="1"/>
    <xf numFmtId="3" fontId="8" fillId="0" borderId="61" xfId="0" applyNumberFormat="1" applyFont="1" applyBorder="1"/>
    <xf numFmtId="49" fontId="2" fillId="0" borderId="66" xfId="2" applyNumberFormat="1" applyFont="1" applyFill="1" applyBorder="1"/>
    <xf numFmtId="1" fontId="20" fillId="0" borderId="67" xfId="2" applyNumberFormat="1" applyFont="1" applyBorder="1"/>
    <xf numFmtId="1" fontId="20" fillId="0" borderId="68" xfId="2" applyNumberFormat="1" applyFont="1" applyBorder="1"/>
    <xf numFmtId="1" fontId="20" fillId="0" borderId="69" xfId="2" applyNumberFormat="1" applyFont="1" applyBorder="1"/>
    <xf numFmtId="1" fontId="19" fillId="0" borderId="0" xfId="2" applyNumberFormat="1" applyFont="1" applyFill="1" applyBorder="1"/>
    <xf numFmtId="49" fontId="2" fillId="7" borderId="66" xfId="2" applyNumberFormat="1" applyFont="1" applyFill="1" applyBorder="1"/>
    <xf numFmtId="166" fontId="2" fillId="7" borderId="66" xfId="2" applyNumberFormat="1" applyFont="1" applyFill="1" applyBorder="1" applyAlignment="1">
      <alignment horizontal="center"/>
    </xf>
    <xf numFmtId="49" fontId="2" fillId="0" borderId="70" xfId="2" applyNumberFormat="1" applyFont="1" applyFill="1" applyBorder="1"/>
    <xf numFmtId="3" fontId="1" fillId="8" borderId="66" xfId="2" applyNumberFormat="1" applyFont="1" applyFill="1" applyBorder="1"/>
    <xf numFmtId="1" fontId="21" fillId="0" borderId="0" xfId="2" applyNumberFormat="1" applyFont="1" applyFill="1" applyBorder="1"/>
    <xf numFmtId="1" fontId="23" fillId="0" borderId="0" xfId="2" applyNumberFormat="1" applyFont="1" applyFill="1" applyBorder="1"/>
    <xf numFmtId="3" fontId="1" fillId="0" borderId="0" xfId="2" applyNumberFormat="1" applyFont="1" applyFill="1" applyBorder="1"/>
    <xf numFmtId="3" fontId="1" fillId="10" borderId="66" xfId="2" applyNumberFormat="1" applyFont="1" applyFill="1" applyBorder="1"/>
    <xf numFmtId="3" fontId="24" fillId="8" borderId="66" xfId="2" applyNumberFormat="1" applyFont="1" applyFill="1" applyBorder="1"/>
    <xf numFmtId="1" fontId="27" fillId="0" borderId="0" xfId="2" applyNumberFormat="1" applyFont="1" applyFill="1" applyBorder="1"/>
    <xf numFmtId="0" fontId="2" fillId="7" borderId="66" xfId="2" applyNumberFormat="1" applyFont="1" applyFill="1" applyBorder="1" applyAlignment="1">
      <alignment horizontal="center"/>
    </xf>
    <xf numFmtId="9" fontId="1" fillId="10" borderId="66" xfId="3" applyFont="1" applyFill="1" applyBorder="1" applyAlignment="1" applyProtection="1"/>
    <xf numFmtId="9" fontId="1" fillId="8" borderId="66" xfId="2" applyNumberFormat="1" applyFont="1" applyFill="1" applyBorder="1" applyAlignment="1">
      <alignment horizontal="center"/>
    </xf>
    <xf numFmtId="3" fontId="1" fillId="8" borderId="69" xfId="2" applyNumberFormat="1" applyFont="1" applyFill="1" applyBorder="1"/>
    <xf numFmtId="9" fontId="1" fillId="9" borderId="66" xfId="2" applyNumberFormat="1" applyFont="1" applyFill="1" applyBorder="1" applyAlignment="1">
      <alignment horizontal="center"/>
    </xf>
    <xf numFmtId="9" fontId="1" fillId="8" borderId="69" xfId="3" applyNumberFormat="1" applyFont="1" applyFill="1" applyBorder="1" applyAlignment="1" applyProtection="1">
      <alignment horizontal="center"/>
    </xf>
    <xf numFmtId="9" fontId="1" fillId="8" borderId="66" xfId="3" applyFont="1" applyFill="1" applyBorder="1" applyAlignment="1" applyProtection="1">
      <alignment horizontal="center"/>
    </xf>
    <xf numFmtId="164" fontId="1" fillId="8" borderId="66" xfId="2" applyNumberFormat="1" applyFont="1" applyFill="1" applyBorder="1" applyAlignment="1">
      <alignment horizontal="center"/>
    </xf>
    <xf numFmtId="165" fontId="1" fillId="8" borderId="69" xfId="3" applyNumberFormat="1" applyFont="1" applyFill="1" applyBorder="1" applyAlignment="1" applyProtection="1">
      <alignment horizontal="center"/>
    </xf>
    <xf numFmtId="165" fontId="1" fillId="8" borderId="66" xfId="3" applyNumberFormat="1" applyFont="1" applyFill="1" applyBorder="1" applyAlignment="1" applyProtection="1">
      <alignment horizontal="center"/>
    </xf>
    <xf numFmtId="9" fontId="1" fillId="8" borderId="69" xfId="3" applyFont="1" applyFill="1" applyBorder="1" applyAlignment="1" applyProtection="1">
      <alignment horizontal="center"/>
    </xf>
    <xf numFmtId="0" fontId="1" fillId="9" borderId="66" xfId="2" applyFont="1" applyFill="1" applyBorder="1" applyAlignment="1">
      <alignment horizontal="center"/>
    </xf>
    <xf numFmtId="164" fontId="1" fillId="8" borderId="69" xfId="2" applyNumberFormat="1" applyFont="1" applyFill="1" applyBorder="1" applyAlignment="1">
      <alignment horizontal="center"/>
    </xf>
    <xf numFmtId="9" fontId="1" fillId="8" borderId="66" xfId="3" applyNumberFormat="1" applyFont="1" applyFill="1" applyBorder="1" applyAlignment="1" applyProtection="1">
      <alignment horizontal="center"/>
    </xf>
    <xf numFmtId="9" fontId="1" fillId="0" borderId="66" xfId="2" applyNumberFormat="1" applyFont="1" applyBorder="1" applyAlignment="1">
      <alignment horizontal="center"/>
    </xf>
    <xf numFmtId="1" fontId="19" fillId="0" borderId="66" xfId="2" applyNumberFormat="1" applyFont="1" applyBorder="1" applyAlignment="1">
      <alignment horizontal="center"/>
    </xf>
    <xf numFmtId="49" fontId="1" fillId="0" borderId="66" xfId="2" applyNumberFormat="1" applyFont="1" applyFill="1" applyBorder="1"/>
    <xf numFmtId="3" fontId="19" fillId="0" borderId="66" xfId="2" applyNumberFormat="1" applyFont="1" applyBorder="1"/>
    <xf numFmtId="0" fontId="3" fillId="0" borderId="0" xfId="2" applyFont="1" applyAlignment="1">
      <alignment horizontal="center"/>
    </xf>
    <xf numFmtId="1" fontId="19" fillId="10" borderId="66" xfId="2" applyNumberFormat="1" applyFont="1" applyFill="1" applyBorder="1"/>
    <xf numFmtId="0" fontId="19" fillId="10" borderId="66" xfId="2" applyFont="1" applyFill="1" applyBorder="1"/>
    <xf numFmtId="168" fontId="19" fillId="10" borderId="66" xfId="2" applyNumberFormat="1" applyFont="1" applyFill="1" applyBorder="1"/>
    <xf numFmtId="49" fontId="2" fillId="0" borderId="71" xfId="0" quotePrefix="1" applyNumberFormat="1" applyFont="1" applyFill="1" applyBorder="1"/>
    <xf numFmtId="1" fontId="9" fillId="0" borderId="71" xfId="0" applyNumberFormat="1" applyFont="1" applyBorder="1"/>
    <xf numFmtId="1" fontId="9" fillId="0" borderId="72" xfId="0" applyNumberFormat="1" applyFont="1" applyBorder="1"/>
    <xf numFmtId="49" fontId="2" fillId="3" borderId="74" xfId="0" applyNumberFormat="1" applyFont="1" applyFill="1" applyBorder="1"/>
    <xf numFmtId="14" fontId="2" fillId="3" borderId="74" xfId="0" applyNumberFormat="1" applyFont="1" applyFill="1" applyBorder="1" applyAlignment="1">
      <alignment horizontal="center"/>
    </xf>
    <xf numFmtId="49" fontId="2" fillId="0" borderId="75" xfId="0" applyNumberFormat="1" applyFont="1" applyFill="1" applyBorder="1"/>
    <xf numFmtId="3" fontId="1" fillId="4" borderId="74" xfId="0" applyNumberFormat="1" applyFont="1" applyFill="1" applyBorder="1"/>
    <xf numFmtId="3" fontId="1" fillId="2" borderId="74" xfId="0" applyNumberFormat="1" applyFont="1" applyFill="1" applyBorder="1"/>
    <xf numFmtId="3" fontId="44" fillId="2" borderId="74" xfId="0" applyNumberFormat="1" applyFont="1" applyFill="1" applyBorder="1"/>
    <xf numFmtId="3" fontId="10" fillId="2" borderId="74" xfId="0" applyNumberFormat="1" applyFont="1" applyFill="1" applyBorder="1"/>
    <xf numFmtId="3" fontId="12" fillId="2" borderId="74" xfId="0" applyNumberFormat="1" applyFont="1" applyFill="1" applyBorder="1"/>
    <xf numFmtId="1" fontId="49" fillId="0" borderId="0" xfId="0" applyNumberFormat="1" applyFont="1"/>
    <xf numFmtId="3" fontId="15" fillId="4" borderId="74" xfId="0" applyNumberFormat="1" applyFont="1" applyFill="1" applyBorder="1"/>
    <xf numFmtId="0" fontId="2" fillId="3" borderId="74" xfId="0" applyNumberFormat="1" applyFont="1" applyFill="1" applyBorder="1" applyAlignment="1">
      <alignment horizontal="center"/>
    </xf>
    <xf numFmtId="9" fontId="1" fillId="2" borderId="74" xfId="1" applyFont="1" applyFill="1" applyBorder="1"/>
    <xf numFmtId="3" fontId="49" fillId="2" borderId="74" xfId="0" applyNumberFormat="1" applyFont="1" applyFill="1" applyBorder="1"/>
    <xf numFmtId="49" fontId="2" fillId="0" borderId="74" xfId="0" applyNumberFormat="1" applyFont="1" applyFill="1" applyBorder="1"/>
    <xf numFmtId="9" fontId="1" fillId="4" borderId="74" xfId="0" applyNumberFormat="1" applyFont="1" applyFill="1" applyBorder="1" applyAlignment="1">
      <alignment horizontal="center"/>
    </xf>
    <xf numFmtId="3" fontId="1" fillId="4" borderId="73" xfId="0" applyNumberFormat="1" applyFont="1" applyFill="1" applyBorder="1"/>
    <xf numFmtId="9" fontId="1" fillId="5" borderId="74" xfId="0" applyNumberFormat="1" applyFont="1" applyFill="1" applyBorder="1" applyAlignment="1">
      <alignment horizontal="center"/>
    </xf>
    <xf numFmtId="9" fontId="1" fillId="4" borderId="73" xfId="1" applyNumberFormat="1" applyFont="1" applyFill="1" applyBorder="1" applyAlignment="1">
      <alignment horizontal="center"/>
    </xf>
    <xf numFmtId="9" fontId="1" fillId="4" borderId="74" xfId="1" applyFont="1" applyFill="1" applyBorder="1" applyAlignment="1">
      <alignment horizontal="center"/>
    </xf>
    <xf numFmtId="164" fontId="1" fillId="4" borderId="74" xfId="0" applyNumberFormat="1" applyFont="1" applyFill="1" applyBorder="1" applyAlignment="1">
      <alignment horizontal="center"/>
    </xf>
    <xf numFmtId="165" fontId="1" fillId="4" borderId="73" xfId="1" applyNumberFormat="1" applyFont="1" applyFill="1" applyBorder="1" applyAlignment="1">
      <alignment horizontal="center"/>
    </xf>
    <xf numFmtId="165" fontId="1" fillId="4" borderId="74" xfId="1" applyNumberFormat="1" applyFont="1" applyFill="1" applyBorder="1" applyAlignment="1">
      <alignment horizontal="center"/>
    </xf>
    <xf numFmtId="9" fontId="1" fillId="4" borderId="73" xfId="1" applyFont="1" applyFill="1" applyBorder="1" applyAlignment="1">
      <alignment horizontal="center"/>
    </xf>
    <xf numFmtId="0" fontId="1" fillId="5" borderId="74" xfId="0" applyFont="1" applyFill="1" applyBorder="1" applyAlignment="1">
      <alignment horizontal="center"/>
    </xf>
    <xf numFmtId="164" fontId="1" fillId="4" borderId="73" xfId="0" applyNumberFormat="1" applyFont="1" applyFill="1" applyBorder="1" applyAlignment="1">
      <alignment horizontal="center"/>
    </xf>
    <xf numFmtId="9" fontId="1" fillId="4" borderId="74" xfId="1" applyNumberFormat="1" applyFont="1" applyFill="1" applyBorder="1" applyAlignment="1">
      <alignment horizontal="center"/>
    </xf>
    <xf numFmtId="9" fontId="1" fillId="0" borderId="74" xfId="0" applyNumberFormat="1" applyFont="1" applyBorder="1" applyAlignment="1">
      <alignment horizontal="center"/>
    </xf>
    <xf numFmtId="1" fontId="8" fillId="0" borderId="74" xfId="0" applyNumberFormat="1" applyFont="1" applyBorder="1" applyAlignment="1">
      <alignment horizontal="center"/>
    </xf>
    <xf numFmtId="49" fontId="1" fillId="0" borderId="74" xfId="0" applyNumberFormat="1" applyFont="1" applyFill="1" applyBorder="1"/>
    <xf numFmtId="3" fontId="8" fillId="0" borderId="74" xfId="0" applyNumberFormat="1" applyFont="1" applyBorder="1"/>
    <xf numFmtId="49" fontId="2" fillId="0" borderId="76" xfId="0" quotePrefix="1" applyNumberFormat="1" applyFont="1" applyFill="1" applyBorder="1"/>
    <xf numFmtId="1" fontId="9" fillId="0" borderId="76" xfId="0" applyNumberFormat="1" applyFont="1" applyBorder="1"/>
    <xf numFmtId="1" fontId="9" fillId="0" borderId="77" xfId="0" applyNumberFormat="1" applyFont="1" applyBorder="1"/>
    <xf numFmtId="49" fontId="2" fillId="3" borderId="79" xfId="0" applyNumberFormat="1" applyFont="1" applyFill="1" applyBorder="1"/>
    <xf numFmtId="14" fontId="2" fillId="3" borderId="79" xfId="0" applyNumberFormat="1" applyFont="1" applyFill="1" applyBorder="1" applyAlignment="1">
      <alignment horizontal="center"/>
    </xf>
    <xf numFmtId="49" fontId="2" fillId="0" borderId="80" xfId="0" applyNumberFormat="1" applyFont="1" applyFill="1" applyBorder="1"/>
    <xf numFmtId="3" fontId="1" fillId="4" borderId="79" xfId="0" applyNumberFormat="1" applyFont="1" applyFill="1" applyBorder="1"/>
    <xf numFmtId="3" fontId="1" fillId="2" borderId="79" xfId="0" applyNumberFormat="1" applyFont="1" applyFill="1" applyBorder="1"/>
    <xf numFmtId="3" fontId="10" fillId="2" borderId="79" xfId="0" applyNumberFormat="1" applyFont="1" applyFill="1" applyBorder="1"/>
    <xf numFmtId="3" fontId="12" fillId="2" borderId="79" xfId="0" applyNumberFormat="1" applyFont="1" applyFill="1" applyBorder="1"/>
    <xf numFmtId="3" fontId="15" fillId="4" borderId="79" xfId="0" applyNumberFormat="1" applyFont="1" applyFill="1" applyBorder="1"/>
    <xf numFmtId="0" fontId="2" fillId="3" borderId="79" xfId="0" applyNumberFormat="1" applyFont="1" applyFill="1" applyBorder="1" applyAlignment="1">
      <alignment horizontal="center"/>
    </xf>
    <xf numFmtId="9" fontId="1" fillId="2" borderId="79" xfId="1" applyFont="1" applyFill="1" applyBorder="1"/>
    <xf numFmtId="49" fontId="2" fillId="0" borderId="79" xfId="0" applyNumberFormat="1" applyFont="1" applyFill="1" applyBorder="1"/>
    <xf numFmtId="9" fontId="1" fillId="4" borderId="79" xfId="0" applyNumberFormat="1" applyFont="1" applyFill="1" applyBorder="1" applyAlignment="1">
      <alignment horizontal="center"/>
    </xf>
    <xf numFmtId="3" fontId="1" fillId="4" borderId="78" xfId="0" applyNumberFormat="1" applyFont="1" applyFill="1" applyBorder="1"/>
    <xf numFmtId="9" fontId="1" fillId="5" borderId="79" xfId="0" applyNumberFormat="1" applyFont="1" applyFill="1" applyBorder="1" applyAlignment="1">
      <alignment horizontal="center"/>
    </xf>
    <xf numFmtId="9" fontId="1" fillId="4" borderId="78" xfId="1" applyNumberFormat="1" applyFont="1" applyFill="1" applyBorder="1" applyAlignment="1">
      <alignment horizontal="center"/>
    </xf>
    <xf numFmtId="9" fontId="1" fillId="4" borderId="79" xfId="1" applyFont="1" applyFill="1" applyBorder="1" applyAlignment="1">
      <alignment horizontal="center"/>
    </xf>
    <xf numFmtId="164" fontId="1" fillId="4" borderId="79" xfId="0" applyNumberFormat="1" applyFont="1" applyFill="1" applyBorder="1" applyAlignment="1">
      <alignment horizontal="center"/>
    </xf>
    <xf numFmtId="165" fontId="1" fillId="4" borderId="78" xfId="1" applyNumberFormat="1" applyFont="1" applyFill="1" applyBorder="1" applyAlignment="1">
      <alignment horizontal="center"/>
    </xf>
    <xf numFmtId="165" fontId="1" fillId="4" borderId="79" xfId="1" applyNumberFormat="1" applyFont="1" applyFill="1" applyBorder="1" applyAlignment="1">
      <alignment horizontal="center"/>
    </xf>
    <xf numFmtId="9" fontId="1" fillId="4" borderId="78" xfId="1" applyFont="1" applyFill="1" applyBorder="1" applyAlignment="1">
      <alignment horizontal="center"/>
    </xf>
    <xf numFmtId="0" fontId="1" fillId="5" borderId="79" xfId="0" applyFont="1" applyFill="1" applyBorder="1" applyAlignment="1">
      <alignment horizontal="center"/>
    </xf>
    <xf numFmtId="164" fontId="1" fillId="4" borderId="78" xfId="0" applyNumberFormat="1" applyFont="1" applyFill="1" applyBorder="1" applyAlignment="1">
      <alignment horizontal="center"/>
    </xf>
    <xf numFmtId="9" fontId="1" fillId="4" borderId="79" xfId="1" applyNumberFormat="1" applyFont="1" applyFill="1" applyBorder="1" applyAlignment="1">
      <alignment horizontal="center"/>
    </xf>
    <xf numFmtId="9" fontId="1" fillId="0" borderId="79" xfId="0" applyNumberFormat="1" applyFont="1" applyBorder="1" applyAlignment="1">
      <alignment horizontal="center"/>
    </xf>
    <xf numFmtId="1" fontId="8" fillId="0" borderId="79" xfId="0" applyNumberFormat="1" applyFont="1" applyBorder="1" applyAlignment="1">
      <alignment horizontal="center"/>
    </xf>
    <xf numFmtId="49" fontId="1" fillId="0" borderId="79" xfId="0" applyNumberFormat="1" applyFont="1" applyFill="1" applyBorder="1"/>
    <xf numFmtId="3" fontId="8" fillId="0" borderId="79" xfId="0" applyNumberFormat="1" applyFont="1" applyBorder="1"/>
    <xf numFmtId="49" fontId="2" fillId="0" borderId="81" xfId="0" quotePrefix="1" applyNumberFormat="1" applyFont="1" applyFill="1" applyBorder="1"/>
    <xf numFmtId="1" fontId="9" fillId="0" borderId="82" xfId="0" applyNumberFormat="1" applyFont="1" applyBorder="1"/>
    <xf numFmtId="1" fontId="9" fillId="0" borderId="83" xfId="0" applyNumberFormat="1" applyFont="1" applyBorder="1"/>
    <xf numFmtId="1" fontId="9" fillId="0" borderId="84" xfId="0" applyNumberFormat="1" applyFont="1" applyBorder="1"/>
    <xf numFmtId="49" fontId="2" fillId="3" borderId="81" xfId="0" applyNumberFormat="1" applyFont="1" applyFill="1" applyBorder="1"/>
    <xf numFmtId="14" fontId="2" fillId="3" borderId="81" xfId="0" applyNumberFormat="1" applyFont="1" applyFill="1" applyBorder="1" applyAlignment="1">
      <alignment horizontal="center"/>
    </xf>
    <xf numFmtId="49" fontId="2" fillId="0" borderId="85" xfId="0" applyNumberFormat="1" applyFont="1" applyFill="1" applyBorder="1"/>
    <xf numFmtId="3" fontId="1" fillId="4" borderId="81" xfId="0" applyNumberFormat="1" applyFont="1" applyFill="1" applyBorder="1"/>
    <xf numFmtId="3" fontId="1" fillId="2" borderId="81" xfId="0" applyNumberFormat="1" applyFont="1" applyFill="1" applyBorder="1"/>
    <xf numFmtId="3" fontId="10" fillId="2" borderId="81" xfId="0" applyNumberFormat="1" applyFont="1" applyFill="1" applyBorder="1"/>
    <xf numFmtId="3" fontId="12" fillId="2" borderId="81" xfId="0" applyNumberFormat="1" applyFont="1" applyFill="1" applyBorder="1"/>
    <xf numFmtId="3" fontId="15" fillId="4" borderId="81" xfId="0" applyNumberFormat="1" applyFont="1" applyFill="1" applyBorder="1"/>
    <xf numFmtId="0" fontId="2" fillId="3" borderId="81" xfId="0" applyNumberFormat="1" applyFont="1" applyFill="1" applyBorder="1" applyAlignment="1">
      <alignment horizontal="center"/>
    </xf>
    <xf numFmtId="9" fontId="1" fillId="2" borderId="81" xfId="1" applyFont="1" applyFill="1" applyBorder="1"/>
    <xf numFmtId="49" fontId="2" fillId="0" borderId="81" xfId="0" applyNumberFormat="1" applyFont="1" applyFill="1" applyBorder="1"/>
    <xf numFmtId="9" fontId="1" fillId="4" borderId="81" xfId="0" applyNumberFormat="1" applyFont="1" applyFill="1" applyBorder="1" applyAlignment="1">
      <alignment horizontal="center"/>
    </xf>
    <xf numFmtId="3" fontId="1" fillId="4" borderId="84" xfId="0" applyNumberFormat="1" applyFont="1" applyFill="1" applyBorder="1"/>
    <xf numFmtId="9" fontId="1" fillId="5" borderId="81" xfId="0" applyNumberFormat="1" applyFont="1" applyFill="1" applyBorder="1" applyAlignment="1">
      <alignment horizontal="center"/>
    </xf>
    <xf numFmtId="9" fontId="1" fillId="4" borderId="84" xfId="1" applyNumberFormat="1" applyFont="1" applyFill="1" applyBorder="1" applyAlignment="1">
      <alignment horizontal="center"/>
    </xf>
    <xf numFmtId="9" fontId="1" fillId="4" borderId="81" xfId="1" applyFont="1" applyFill="1" applyBorder="1" applyAlignment="1">
      <alignment horizontal="center"/>
    </xf>
    <xf numFmtId="164" fontId="1" fillId="4" borderId="81" xfId="0" applyNumberFormat="1" applyFont="1" applyFill="1" applyBorder="1" applyAlignment="1">
      <alignment horizontal="center"/>
    </xf>
    <xf numFmtId="165" fontId="1" fillId="4" borderId="84" xfId="1" applyNumberFormat="1" applyFont="1" applyFill="1" applyBorder="1" applyAlignment="1">
      <alignment horizontal="center"/>
    </xf>
    <xf numFmtId="165" fontId="1" fillId="4" borderId="81" xfId="1" applyNumberFormat="1" applyFont="1" applyFill="1" applyBorder="1" applyAlignment="1">
      <alignment horizontal="center"/>
    </xf>
    <xf numFmtId="49" fontId="2" fillId="11" borderId="6" xfId="0" applyNumberFormat="1" applyFont="1" applyFill="1" applyBorder="1"/>
    <xf numFmtId="9" fontId="1" fillId="4" borderId="84" xfId="1" applyFont="1" applyFill="1" applyBorder="1" applyAlignment="1">
      <alignment horizontal="center"/>
    </xf>
    <xf numFmtId="0" fontId="1" fillId="5" borderId="81" xfId="0" applyFont="1" applyFill="1" applyBorder="1" applyAlignment="1">
      <alignment horizontal="center"/>
    </xf>
    <xf numFmtId="164" fontId="1" fillId="4" borderId="84" xfId="0" applyNumberFormat="1" applyFont="1" applyFill="1" applyBorder="1" applyAlignment="1">
      <alignment horizontal="center"/>
    </xf>
    <xf numFmtId="9" fontId="1" fillId="4" borderId="81" xfId="1" applyNumberFormat="1" applyFont="1" applyFill="1" applyBorder="1" applyAlignment="1">
      <alignment horizontal="center"/>
    </xf>
    <xf numFmtId="9" fontId="1" fillId="0" borderId="81" xfId="0" applyNumberFormat="1" applyFont="1" applyBorder="1" applyAlignment="1">
      <alignment horizontal="center"/>
    </xf>
    <xf numFmtId="1" fontId="8" fillId="0" borderId="81" xfId="0" applyNumberFormat="1" applyFont="1" applyBorder="1" applyAlignment="1">
      <alignment horizontal="center"/>
    </xf>
    <xf numFmtId="49" fontId="1" fillId="0" borderId="81" xfId="0" applyNumberFormat="1" applyFont="1" applyFill="1" applyBorder="1"/>
    <xf numFmtId="3" fontId="8" fillId="0" borderId="81" xfId="0" applyNumberFormat="1" applyFont="1" applyBorder="1"/>
    <xf numFmtId="0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1" fontId="19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9" fontId="2" fillId="0" borderId="86" xfId="0" quotePrefix="1" applyNumberFormat="1" applyFont="1" applyFill="1" applyBorder="1" applyAlignment="1" applyProtection="1"/>
    <xf numFmtId="1" fontId="20" fillId="0" borderId="87" xfId="0" applyNumberFormat="1" applyFont="1" applyFill="1" applyBorder="1" applyAlignment="1" applyProtection="1"/>
    <xf numFmtId="1" fontId="20" fillId="0" borderId="88" xfId="0" applyNumberFormat="1" applyFont="1" applyFill="1" applyBorder="1" applyAlignment="1" applyProtection="1"/>
    <xf numFmtId="1" fontId="20" fillId="0" borderId="89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49" fontId="2" fillId="12" borderId="86" xfId="0" applyNumberFormat="1" applyFont="1" applyFill="1" applyBorder="1" applyAlignment="1" applyProtection="1"/>
    <xf numFmtId="14" fontId="2" fillId="12" borderId="8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49" fontId="2" fillId="0" borderId="90" xfId="0" applyNumberFormat="1" applyFont="1" applyFill="1" applyBorder="1" applyAlignment="1" applyProtection="1"/>
    <xf numFmtId="3" fontId="1" fillId="13" borderId="86" xfId="0" applyNumberFormat="1" applyFont="1" applyFill="1" applyBorder="1" applyAlignment="1" applyProtection="1"/>
    <xf numFmtId="49" fontId="2" fillId="0" borderId="91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/>
    </xf>
    <xf numFmtId="3" fontId="1" fillId="2" borderId="8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right"/>
    </xf>
    <xf numFmtId="49" fontId="22" fillId="0" borderId="91" xfId="0" applyNumberFormat="1" applyFont="1" applyFill="1" applyBorder="1" applyAlignment="1" applyProtection="1"/>
    <xf numFmtId="3" fontId="21" fillId="2" borderId="86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3" fontId="23" fillId="2" borderId="8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5" fillId="12" borderId="0" xfId="0" applyNumberFormat="1" applyFont="1" applyFill="1" applyBorder="1" applyAlignment="1" applyProtection="1"/>
    <xf numFmtId="0" fontId="5" fillId="12" borderId="0" xfId="0" applyNumberFormat="1" applyFont="1" applyFill="1" applyBorder="1" applyAlignment="1" applyProtection="1">
      <alignment horizontal="left"/>
    </xf>
    <xf numFmtId="0" fontId="5" fillId="12" borderId="0" xfId="0" applyNumberFormat="1" applyFont="1" applyFill="1" applyBorder="1" applyAlignment="1" applyProtection="1">
      <alignment horizontal="center"/>
    </xf>
    <xf numFmtId="49" fontId="26" fillId="12" borderId="92" xfId="0" applyNumberFormat="1" applyFont="1" applyFill="1" applyBorder="1" applyAlignment="1" applyProtection="1"/>
    <xf numFmtId="3" fontId="24" fillId="13" borderId="86" xfId="0" applyNumberFormat="1" applyFont="1" applyFill="1" applyBorder="1" applyAlignment="1" applyProtection="1"/>
    <xf numFmtId="0" fontId="2" fillId="12" borderId="86" xfId="0" applyNumberFormat="1" applyFont="1" applyFill="1" applyBorder="1" applyAlignment="1" applyProtection="1">
      <alignment horizontal="center"/>
    </xf>
    <xf numFmtId="167" fontId="1" fillId="13" borderId="86" xfId="0" applyNumberFormat="1" applyFont="1" applyFill="1" applyBorder="1" applyAlignment="1" applyProtection="1"/>
    <xf numFmtId="0" fontId="1" fillId="12" borderId="0" xfId="0" applyNumberFormat="1" applyFont="1" applyFill="1" applyBorder="1" applyAlignment="1" applyProtection="1"/>
    <xf numFmtId="0" fontId="1" fillId="12" borderId="0" xfId="0" applyNumberFormat="1" applyFont="1" applyFill="1" applyBorder="1" applyAlignment="1" applyProtection="1">
      <alignment horizontal="left"/>
    </xf>
    <xf numFmtId="0" fontId="1" fillId="12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9" fontId="1" fillId="2" borderId="86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vertical="center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wrapText="1"/>
    </xf>
    <xf numFmtId="49" fontId="2" fillId="0" borderId="91" xfId="0" applyNumberFormat="1" applyFont="1" applyFill="1" applyBorder="1" applyAlignment="1" applyProtection="1">
      <alignment vertical="center"/>
    </xf>
    <xf numFmtId="0" fontId="1" fillId="0" borderId="0" xfId="0" quotePrefix="1" applyNumberFormat="1" applyFont="1" applyFill="1" applyBorder="1" applyAlignment="1" applyProtection="1"/>
    <xf numFmtId="49" fontId="2" fillId="0" borderId="86" xfId="0" applyNumberFormat="1" applyFont="1" applyFill="1" applyBorder="1" applyAlignment="1" applyProtection="1"/>
    <xf numFmtId="49" fontId="2" fillId="0" borderId="92" xfId="0" applyNumberFormat="1" applyFont="1" applyFill="1" applyBorder="1" applyAlignment="1" applyProtection="1"/>
    <xf numFmtId="9" fontId="1" fillId="13" borderId="86" xfId="0" applyNumberFormat="1" applyFont="1" applyFill="1" applyBorder="1" applyAlignment="1" applyProtection="1">
      <alignment horizontal="center"/>
    </xf>
    <xf numFmtId="3" fontId="1" fillId="13" borderId="89" xfId="0" applyNumberFormat="1" applyFont="1" applyFill="1" applyBorder="1" applyAlignment="1" applyProtection="1"/>
    <xf numFmtId="9" fontId="1" fillId="14" borderId="86" xfId="0" applyNumberFormat="1" applyFont="1" applyFill="1" applyBorder="1" applyAlignment="1" applyProtection="1">
      <alignment horizontal="center"/>
    </xf>
    <xf numFmtId="9" fontId="1" fillId="13" borderId="89" xfId="0" applyNumberFormat="1" applyFont="1" applyFill="1" applyBorder="1" applyAlignment="1" applyProtection="1">
      <alignment horizontal="center"/>
    </xf>
    <xf numFmtId="164" fontId="1" fillId="13" borderId="86" xfId="0" applyNumberFormat="1" applyFont="1" applyFill="1" applyBorder="1" applyAlignment="1" applyProtection="1">
      <alignment horizontal="center"/>
    </xf>
    <xf numFmtId="165" fontId="1" fillId="13" borderId="89" xfId="0" applyNumberFormat="1" applyFont="1" applyFill="1" applyBorder="1" applyAlignment="1" applyProtection="1">
      <alignment horizontal="center"/>
    </xf>
    <xf numFmtId="165" fontId="1" fillId="13" borderId="86" xfId="0" applyNumberFormat="1" applyFont="1" applyFill="1" applyBorder="1" applyAlignment="1" applyProtection="1">
      <alignment horizontal="center"/>
    </xf>
    <xf numFmtId="49" fontId="2" fillId="12" borderId="9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1" fillId="14" borderId="86" xfId="0" applyNumberFormat="1" applyFont="1" applyFill="1" applyBorder="1" applyAlignment="1" applyProtection="1">
      <alignment horizontal="center"/>
    </xf>
    <xf numFmtId="164" fontId="1" fillId="13" borderId="89" xfId="0" applyNumberFormat="1" applyFont="1" applyFill="1" applyBorder="1" applyAlignment="1" applyProtection="1">
      <alignment horizontal="center"/>
    </xf>
    <xf numFmtId="14" fontId="1" fillId="0" borderId="0" xfId="0" quotePrefix="1" applyNumberFormat="1" applyFont="1" applyFill="1" applyBorder="1" applyAlignment="1" applyProtection="1"/>
    <xf numFmtId="49" fontId="2" fillId="12" borderId="9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vertical="center" wrapText="1"/>
    </xf>
    <xf numFmtId="1" fontId="20" fillId="0" borderId="0" xfId="0" applyNumberFormat="1" applyFont="1" applyFill="1" applyBorder="1" applyAlignment="1" applyProtection="1"/>
    <xf numFmtId="1" fontId="20" fillId="0" borderId="0" xfId="0" applyNumberFormat="1" applyFont="1" applyFill="1" applyBorder="1" applyAlignment="1" applyProtection="1">
      <alignment horizontal="left"/>
    </xf>
    <xf numFmtId="1" fontId="20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left"/>
    </xf>
    <xf numFmtId="9" fontId="1" fillId="0" borderId="86" xfId="0" applyNumberFormat="1" applyFont="1" applyFill="1" applyBorder="1" applyAlignment="1" applyProtection="1">
      <alignment horizontal="center"/>
    </xf>
    <xf numFmtId="1" fontId="19" fillId="0" borderId="86" xfId="0" applyNumberFormat="1" applyFont="1" applyFill="1" applyBorder="1" applyAlignment="1" applyProtection="1">
      <alignment horizontal="center"/>
    </xf>
    <xf numFmtId="49" fontId="1" fillId="0" borderId="86" xfId="0" applyNumberFormat="1" applyFont="1" applyFill="1" applyBorder="1" applyAlignment="1" applyProtection="1"/>
    <xf numFmtId="3" fontId="19" fillId="0" borderId="86" xfId="0" applyNumberFormat="1" applyFont="1" applyFill="1" applyBorder="1" applyAlignment="1" applyProtection="1"/>
    <xf numFmtId="49" fontId="2" fillId="0" borderId="93" xfId="0" quotePrefix="1" applyNumberFormat="1" applyFont="1" applyFill="1" applyBorder="1"/>
    <xf numFmtId="1" fontId="9" fillId="0" borderId="94" xfId="0" applyNumberFormat="1" applyFont="1" applyBorder="1"/>
    <xf numFmtId="1" fontId="9" fillId="0" borderId="95" xfId="0" applyNumberFormat="1" applyFont="1" applyBorder="1"/>
    <xf numFmtId="1" fontId="9" fillId="0" borderId="96" xfId="0" applyNumberFormat="1" applyFont="1" applyBorder="1"/>
    <xf numFmtId="49" fontId="2" fillId="3" borderId="93" xfId="0" applyNumberFormat="1" applyFont="1" applyFill="1" applyBorder="1"/>
    <xf numFmtId="14" fontId="2" fillId="3" borderId="93" xfId="0" applyNumberFormat="1" applyFont="1" applyFill="1" applyBorder="1" applyAlignment="1">
      <alignment horizontal="center"/>
    </xf>
    <xf numFmtId="49" fontId="2" fillId="0" borderId="97" xfId="0" applyNumberFormat="1" applyFont="1" applyFill="1" applyBorder="1"/>
    <xf numFmtId="3" fontId="1" fillId="4" borderId="93" xfId="0" applyNumberFormat="1" applyFont="1" applyFill="1" applyBorder="1"/>
    <xf numFmtId="3" fontId="1" fillId="2" borderId="93" xfId="0" applyNumberFormat="1" applyFont="1" applyFill="1" applyBorder="1"/>
    <xf numFmtId="3" fontId="10" fillId="2" borderId="93" xfId="0" applyNumberFormat="1" applyFont="1" applyFill="1" applyBorder="1"/>
    <xf numFmtId="3" fontId="12" fillId="2" borderId="93" xfId="0" applyNumberFormat="1" applyFont="1" applyFill="1" applyBorder="1"/>
    <xf numFmtId="3" fontId="15" fillId="4" borderId="93" xfId="0" applyNumberFormat="1" applyFont="1" applyFill="1" applyBorder="1"/>
    <xf numFmtId="0" fontId="2" fillId="3" borderId="93" xfId="0" applyNumberFormat="1" applyFont="1" applyFill="1" applyBorder="1" applyAlignment="1">
      <alignment horizontal="center"/>
    </xf>
    <xf numFmtId="9" fontId="1" fillId="2" borderId="93" xfId="1" applyFont="1" applyFill="1" applyBorder="1"/>
    <xf numFmtId="1" fontId="8" fillId="4" borderId="0" xfId="0" applyNumberFormat="1" applyFont="1" applyFill="1"/>
    <xf numFmtId="1" fontId="32" fillId="4" borderId="0" xfId="0" applyNumberFormat="1" applyFont="1" applyFill="1"/>
    <xf numFmtId="49" fontId="2" fillId="0" borderId="93" xfId="0" applyNumberFormat="1" applyFont="1" applyFill="1" applyBorder="1"/>
    <xf numFmtId="9" fontId="1" fillId="4" borderId="93" xfId="0" applyNumberFormat="1" applyFont="1" applyFill="1" applyBorder="1" applyAlignment="1">
      <alignment horizontal="center"/>
    </xf>
    <xf numFmtId="3" fontId="1" fillId="4" borderId="96" xfId="0" applyNumberFormat="1" applyFont="1" applyFill="1" applyBorder="1"/>
    <xf numFmtId="9" fontId="1" fillId="5" borderId="93" xfId="0" applyNumberFormat="1" applyFont="1" applyFill="1" applyBorder="1" applyAlignment="1">
      <alignment horizontal="center"/>
    </xf>
    <xf numFmtId="9" fontId="1" fillId="4" borderId="96" xfId="1" applyNumberFormat="1" applyFont="1" applyFill="1" applyBorder="1" applyAlignment="1">
      <alignment horizontal="center"/>
    </xf>
    <xf numFmtId="9" fontId="1" fillId="4" borderId="93" xfId="1" applyFont="1" applyFill="1" applyBorder="1" applyAlignment="1">
      <alignment horizontal="center"/>
    </xf>
    <xf numFmtId="164" fontId="1" fillId="4" borderId="93" xfId="0" applyNumberFormat="1" applyFont="1" applyFill="1" applyBorder="1" applyAlignment="1">
      <alignment horizontal="center"/>
    </xf>
    <xf numFmtId="165" fontId="1" fillId="4" borderId="96" xfId="1" applyNumberFormat="1" applyFont="1" applyFill="1" applyBorder="1" applyAlignment="1">
      <alignment horizontal="center"/>
    </xf>
    <xf numFmtId="165" fontId="1" fillId="4" borderId="93" xfId="1" applyNumberFormat="1" applyFont="1" applyFill="1" applyBorder="1" applyAlignment="1">
      <alignment horizontal="center"/>
    </xf>
    <xf numFmtId="9" fontId="1" fillId="4" borderId="96" xfId="1" applyFont="1" applyFill="1" applyBorder="1" applyAlignment="1">
      <alignment horizontal="center"/>
    </xf>
    <xf numFmtId="0" fontId="1" fillId="5" borderId="93" xfId="0" applyFont="1" applyFill="1" applyBorder="1" applyAlignment="1">
      <alignment horizontal="center"/>
    </xf>
    <xf numFmtId="164" fontId="1" fillId="4" borderId="96" xfId="0" applyNumberFormat="1" applyFont="1" applyFill="1" applyBorder="1" applyAlignment="1">
      <alignment horizontal="center"/>
    </xf>
    <xf numFmtId="9" fontId="1" fillId="4" borderId="93" xfId="1" applyNumberFormat="1" applyFont="1" applyFill="1" applyBorder="1" applyAlignment="1">
      <alignment horizontal="center"/>
    </xf>
    <xf numFmtId="9" fontId="1" fillId="0" borderId="93" xfId="0" applyNumberFormat="1" applyFont="1" applyBorder="1" applyAlignment="1">
      <alignment horizontal="center"/>
    </xf>
    <xf numFmtId="1" fontId="8" fillId="0" borderId="93" xfId="0" applyNumberFormat="1" applyFont="1" applyBorder="1" applyAlignment="1">
      <alignment horizontal="center"/>
    </xf>
    <xf numFmtId="49" fontId="1" fillId="0" borderId="93" xfId="0" applyNumberFormat="1" applyFont="1" applyFill="1" applyBorder="1"/>
    <xf numFmtId="3" fontId="8" fillId="0" borderId="93" xfId="0" applyNumberFormat="1" applyFont="1" applyBorder="1"/>
    <xf numFmtId="0" fontId="56" fillId="0" borderId="0" xfId="0" applyFont="1" applyBorder="1" applyAlignment="1">
      <alignment horizontal="center"/>
    </xf>
    <xf numFmtId="1" fontId="57" fillId="0" borderId="0" xfId="0" applyNumberFormat="1" applyFont="1"/>
    <xf numFmtId="0" fontId="56" fillId="0" borderId="0" xfId="0" applyFont="1" applyBorder="1" applyAlignment="1">
      <alignment horizontal="left"/>
    </xf>
    <xf numFmtId="1" fontId="58" fillId="0" borderId="0" xfId="0" applyNumberFormat="1" applyFont="1"/>
    <xf numFmtId="0" fontId="57" fillId="0" borderId="0" xfId="0" applyFont="1" applyBorder="1" applyAlignment="1">
      <alignment horizontal="center"/>
    </xf>
    <xf numFmtId="1" fontId="60" fillId="0" borderId="0" xfId="0" applyNumberFormat="1" applyFont="1"/>
    <xf numFmtId="49" fontId="57" fillId="3" borderId="101" xfId="0" applyNumberFormat="1" applyFont="1" applyFill="1" applyBorder="1"/>
    <xf numFmtId="0" fontId="56" fillId="0" borderId="0" xfId="0" applyFont="1" applyBorder="1"/>
    <xf numFmtId="49" fontId="57" fillId="0" borderId="102" xfId="0" applyNumberFormat="1" applyFont="1" applyFill="1" applyBorder="1"/>
    <xf numFmtId="3" fontId="56" fillId="4" borderId="101" xfId="0" applyNumberFormat="1" applyFont="1" applyFill="1" applyBorder="1"/>
    <xf numFmtId="0" fontId="56" fillId="0" borderId="0" xfId="0" applyFont="1"/>
    <xf numFmtId="0" fontId="56" fillId="0" borderId="0" xfId="0" applyFont="1" applyAlignment="1">
      <alignment horizontal="center"/>
    </xf>
    <xf numFmtId="49" fontId="57" fillId="0" borderId="6" xfId="0" applyNumberFormat="1" applyFont="1" applyFill="1" applyBorder="1"/>
    <xf numFmtId="0" fontId="56" fillId="0" borderId="0" xfId="0" applyFont="1" applyAlignment="1">
      <alignment horizontal="left"/>
    </xf>
    <xf numFmtId="0" fontId="60" fillId="0" borderId="0" xfId="0" quotePrefix="1" applyFont="1" applyAlignment="1">
      <alignment horizontal="center"/>
    </xf>
    <xf numFmtId="3" fontId="56" fillId="2" borderId="101" xfId="0" applyNumberFormat="1" applyFont="1" applyFill="1" applyBorder="1"/>
    <xf numFmtId="0" fontId="61" fillId="0" borderId="0" xfId="0" applyFont="1" applyAlignment="1">
      <alignment horizontal="center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1" fontId="62" fillId="0" borderId="0" xfId="0" applyNumberFormat="1" applyFont="1"/>
    <xf numFmtId="0" fontId="63" fillId="0" borderId="0" xfId="0" applyFont="1"/>
    <xf numFmtId="1" fontId="63" fillId="0" borderId="0" xfId="0" applyNumberFormat="1" applyFont="1"/>
    <xf numFmtId="0" fontId="56" fillId="0" borderId="0" xfId="0" applyFont="1" applyAlignment="1"/>
    <xf numFmtId="0" fontId="64" fillId="0" borderId="0" xfId="0" applyFont="1"/>
    <xf numFmtId="0" fontId="61" fillId="3" borderId="0" xfId="0" applyFont="1" applyFill="1"/>
    <xf numFmtId="0" fontId="61" fillId="3" borderId="0" xfId="0" applyFont="1" applyFill="1" applyAlignment="1">
      <alignment horizontal="left"/>
    </xf>
    <xf numFmtId="0" fontId="61" fillId="3" borderId="0" xfId="0" applyFont="1" applyFill="1" applyAlignment="1">
      <alignment horizontal="center"/>
    </xf>
    <xf numFmtId="1" fontId="67" fillId="0" borderId="0" xfId="0" applyNumberFormat="1" applyFont="1"/>
    <xf numFmtId="0" fontId="57" fillId="3" borderId="101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3" borderId="0" xfId="0" applyFont="1" applyFill="1"/>
    <xf numFmtId="0" fontId="56" fillId="3" borderId="0" xfId="0" applyFont="1" applyFill="1" applyAlignment="1">
      <alignment horizontal="left"/>
    </xf>
    <xf numFmtId="0" fontId="56" fillId="3" borderId="0" xfId="0" applyFont="1" applyFill="1" applyAlignment="1">
      <alignment horizontal="center"/>
    </xf>
    <xf numFmtId="49" fontId="57" fillId="0" borderId="0" xfId="0" applyNumberFormat="1" applyFont="1" applyFill="1"/>
    <xf numFmtId="0" fontId="57" fillId="0" borderId="0" xfId="0" applyFont="1"/>
    <xf numFmtId="0" fontId="57" fillId="0" borderId="0" xfId="0" applyFont="1" applyAlignment="1">
      <alignment horizontal="center"/>
    </xf>
    <xf numFmtId="1" fontId="57" fillId="0" borderId="0" xfId="0" applyNumberFormat="1" applyFont="1" applyAlignment="1">
      <alignment vertical="center"/>
    </xf>
    <xf numFmtId="0" fontId="56" fillId="0" borderId="0" xfId="0" quotePrefix="1" applyFont="1" applyAlignment="1">
      <alignment horizontal="left" vertical="center" wrapText="1"/>
    </xf>
    <xf numFmtId="0" fontId="56" fillId="0" borderId="0" xfId="0" applyFont="1" applyAlignment="1">
      <alignment wrapText="1"/>
    </xf>
    <xf numFmtId="49" fontId="57" fillId="0" borderId="6" xfId="0" applyNumberFormat="1" applyFont="1" applyFill="1" applyBorder="1" applyAlignment="1">
      <alignment vertical="center"/>
    </xf>
    <xf numFmtId="0" fontId="56" fillId="0" borderId="0" xfId="0" quotePrefix="1" applyFont="1"/>
    <xf numFmtId="0" fontId="56" fillId="0" borderId="0" xfId="0" quotePrefix="1" applyFont="1" applyAlignment="1"/>
    <xf numFmtId="49" fontId="57" fillId="0" borderId="101" xfId="0" applyNumberFormat="1" applyFont="1" applyFill="1" applyBorder="1"/>
    <xf numFmtId="49" fontId="56" fillId="0" borderId="0" xfId="0" applyNumberFormat="1" applyFont="1" applyFill="1"/>
    <xf numFmtId="0" fontId="56" fillId="0" borderId="0" xfId="0" quotePrefix="1" applyFont="1" applyAlignment="1">
      <alignment horizontal="left"/>
    </xf>
    <xf numFmtId="49" fontId="57" fillId="0" borderId="20" xfId="0" applyNumberFormat="1" applyFont="1" applyFill="1" applyBorder="1"/>
    <xf numFmtId="9" fontId="56" fillId="4" borderId="101" xfId="0" applyNumberFormat="1" applyFont="1" applyFill="1" applyBorder="1" applyAlignment="1">
      <alignment horizontal="center"/>
    </xf>
    <xf numFmtId="3" fontId="56" fillId="4" borderId="100" xfId="0" applyNumberFormat="1" applyFont="1" applyFill="1" applyBorder="1"/>
    <xf numFmtId="9" fontId="56" fillId="5" borderId="101" xfId="0" applyNumberFormat="1" applyFont="1" applyFill="1" applyBorder="1" applyAlignment="1">
      <alignment horizontal="center"/>
    </xf>
    <xf numFmtId="9" fontId="56" fillId="4" borderId="100" xfId="1" applyNumberFormat="1" applyFont="1" applyFill="1" applyBorder="1" applyAlignment="1">
      <alignment horizontal="center"/>
    </xf>
    <xf numFmtId="9" fontId="56" fillId="4" borderId="101" xfId="1" applyFont="1" applyFill="1" applyBorder="1" applyAlignment="1">
      <alignment horizontal="center"/>
    </xf>
    <xf numFmtId="164" fontId="56" fillId="4" borderId="101" xfId="0" applyNumberFormat="1" applyFont="1" applyFill="1" applyBorder="1" applyAlignment="1">
      <alignment horizontal="center"/>
    </xf>
    <xf numFmtId="165" fontId="56" fillId="4" borderId="100" xfId="1" applyNumberFormat="1" applyFont="1" applyFill="1" applyBorder="1" applyAlignment="1">
      <alignment horizontal="center"/>
    </xf>
    <xf numFmtId="165" fontId="56" fillId="4" borderId="101" xfId="1" applyNumberFormat="1" applyFont="1" applyFill="1" applyBorder="1" applyAlignment="1">
      <alignment horizontal="center"/>
    </xf>
    <xf numFmtId="49" fontId="57" fillId="3" borderId="6" xfId="0" applyNumberFormat="1" applyFont="1" applyFill="1" applyBorder="1"/>
    <xf numFmtId="0" fontId="57" fillId="0" borderId="0" xfId="0" applyFont="1" applyAlignment="1">
      <alignment horizontal="right"/>
    </xf>
    <xf numFmtId="9" fontId="56" fillId="4" borderId="100" xfId="1" applyFont="1" applyFill="1" applyBorder="1" applyAlignment="1">
      <alignment horizontal="center"/>
    </xf>
    <xf numFmtId="0" fontId="56" fillId="5" borderId="101" xfId="0" applyFont="1" applyFill="1" applyBorder="1" applyAlignment="1">
      <alignment horizontal="center"/>
    </xf>
    <xf numFmtId="164" fontId="56" fillId="4" borderId="100" xfId="0" applyNumberFormat="1" applyFont="1" applyFill="1" applyBorder="1" applyAlignment="1">
      <alignment horizontal="center"/>
    </xf>
    <xf numFmtId="14" fontId="56" fillId="0" borderId="0" xfId="0" quotePrefix="1" applyNumberFormat="1" applyFont="1"/>
    <xf numFmtId="49" fontId="57" fillId="3" borderId="20" xfId="0" applyNumberFormat="1" applyFont="1" applyFill="1" applyBorder="1"/>
    <xf numFmtId="0" fontId="56" fillId="0" borderId="0" xfId="0" applyFont="1" applyBorder="1" applyAlignment="1">
      <alignment horizontal="left" vertical="center" wrapText="1"/>
    </xf>
    <xf numFmtId="9" fontId="56" fillId="4" borderId="101" xfId="1" applyNumberFormat="1" applyFont="1" applyFill="1" applyBorder="1" applyAlignment="1">
      <alignment horizontal="center"/>
    </xf>
    <xf numFmtId="1" fontId="59" fillId="0" borderId="0" xfId="0" applyNumberFormat="1" applyFont="1"/>
    <xf numFmtId="1" fontId="59" fillId="0" borderId="0" xfId="0" applyNumberFormat="1" applyFont="1" applyAlignment="1">
      <alignment horizontal="left"/>
    </xf>
    <xf numFmtId="1" fontId="59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left"/>
    </xf>
    <xf numFmtId="9" fontId="56" fillId="0" borderId="101" xfId="0" applyNumberFormat="1" applyFont="1" applyBorder="1" applyAlignment="1">
      <alignment horizontal="center"/>
    </xf>
    <xf numFmtId="1" fontId="58" fillId="0" borderId="101" xfId="0" applyNumberFormat="1" applyFont="1" applyBorder="1" applyAlignment="1">
      <alignment horizontal="center"/>
    </xf>
    <xf numFmtId="49" fontId="56" fillId="0" borderId="101" xfId="0" applyNumberFormat="1" applyFont="1" applyFill="1" applyBorder="1"/>
    <xf numFmtId="3" fontId="58" fillId="0" borderId="101" xfId="0" applyNumberFormat="1" applyFont="1" applyBorder="1"/>
    <xf numFmtId="49" fontId="57" fillId="0" borderId="0" xfId="0" applyNumberFormat="1" applyFont="1" applyFill="1" applyBorder="1"/>
    <xf numFmtId="0" fontId="68" fillId="0" borderId="0" xfId="0" applyFont="1"/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68" fillId="0" borderId="0" xfId="0" applyNumberFormat="1" applyFont="1" applyFill="1"/>
    <xf numFmtId="1" fontId="68" fillId="0" borderId="0" xfId="0" applyNumberFormat="1" applyFont="1"/>
    <xf numFmtId="49" fontId="2" fillId="0" borderId="103" xfId="0" quotePrefix="1" applyNumberFormat="1" applyFont="1" applyFill="1" applyBorder="1"/>
    <xf numFmtId="1" fontId="9" fillId="0" borderId="104" xfId="0" applyNumberFormat="1" applyFont="1" applyBorder="1"/>
    <xf numFmtId="1" fontId="9" fillId="0" borderId="105" xfId="0" applyNumberFormat="1" applyFont="1" applyBorder="1"/>
    <xf numFmtId="1" fontId="9" fillId="0" borderId="106" xfId="0" applyNumberFormat="1" applyFont="1" applyBorder="1"/>
    <xf numFmtId="49" fontId="2" fillId="3" borderId="103" xfId="0" applyNumberFormat="1" applyFont="1" applyFill="1" applyBorder="1"/>
    <xf numFmtId="14" fontId="2" fillId="3" borderId="103" xfId="0" applyNumberFormat="1" applyFont="1" applyFill="1" applyBorder="1" applyAlignment="1">
      <alignment horizontal="center"/>
    </xf>
    <xf numFmtId="49" fontId="2" fillId="0" borderId="107" xfId="0" applyNumberFormat="1" applyFont="1" applyFill="1" applyBorder="1"/>
    <xf numFmtId="3" fontId="1" fillId="4" borderId="103" xfId="0" applyNumberFormat="1" applyFont="1" applyFill="1" applyBorder="1"/>
    <xf numFmtId="3" fontId="1" fillId="2" borderId="103" xfId="0" applyNumberFormat="1" applyFont="1" applyFill="1" applyBorder="1"/>
    <xf numFmtId="3" fontId="10" fillId="2" borderId="103" xfId="0" applyNumberFormat="1" applyFont="1" applyFill="1" applyBorder="1"/>
    <xf numFmtId="3" fontId="12" fillId="2" borderId="103" xfId="0" applyNumberFormat="1" applyFont="1" applyFill="1" applyBorder="1"/>
    <xf numFmtId="3" fontId="15" fillId="4" borderId="103" xfId="0" applyNumberFormat="1" applyFont="1" applyFill="1" applyBorder="1"/>
    <xf numFmtId="0" fontId="2" fillId="3" borderId="103" xfId="0" applyNumberFormat="1" applyFont="1" applyFill="1" applyBorder="1" applyAlignment="1">
      <alignment horizontal="center"/>
    </xf>
    <xf numFmtId="9" fontId="1" fillId="2" borderId="103" xfId="1" applyFont="1" applyFill="1" applyBorder="1"/>
    <xf numFmtId="49" fontId="2" fillId="0" borderId="103" xfId="0" applyNumberFormat="1" applyFont="1" applyFill="1" applyBorder="1"/>
    <xf numFmtId="9" fontId="1" fillId="4" borderId="103" xfId="0" applyNumberFormat="1" applyFont="1" applyFill="1" applyBorder="1" applyAlignment="1">
      <alignment horizontal="center"/>
    </xf>
    <xf numFmtId="3" fontId="1" fillId="4" borderId="106" xfId="0" applyNumberFormat="1" applyFont="1" applyFill="1" applyBorder="1"/>
    <xf numFmtId="9" fontId="1" fillId="5" borderId="103" xfId="0" applyNumberFormat="1" applyFont="1" applyFill="1" applyBorder="1" applyAlignment="1">
      <alignment horizontal="center"/>
    </xf>
    <xf numFmtId="9" fontId="1" fillId="4" borderId="106" xfId="1" applyNumberFormat="1" applyFont="1" applyFill="1" applyBorder="1" applyAlignment="1">
      <alignment horizontal="center"/>
    </xf>
    <xf numFmtId="9" fontId="1" fillId="4" borderId="103" xfId="1" applyFont="1" applyFill="1" applyBorder="1" applyAlignment="1">
      <alignment horizontal="center"/>
    </xf>
    <xf numFmtId="164" fontId="1" fillId="4" borderId="103" xfId="0" applyNumberFormat="1" applyFont="1" applyFill="1" applyBorder="1" applyAlignment="1">
      <alignment horizontal="center"/>
    </xf>
    <xf numFmtId="165" fontId="1" fillId="4" borderId="106" xfId="1" applyNumberFormat="1" applyFont="1" applyFill="1" applyBorder="1" applyAlignment="1">
      <alignment horizontal="center"/>
    </xf>
    <xf numFmtId="165" fontId="1" fillId="4" borderId="103" xfId="1" applyNumberFormat="1" applyFont="1" applyFill="1" applyBorder="1" applyAlignment="1">
      <alignment horizontal="center"/>
    </xf>
    <xf numFmtId="9" fontId="1" fillId="4" borderId="106" xfId="1" applyFont="1" applyFill="1" applyBorder="1" applyAlignment="1">
      <alignment horizontal="center"/>
    </xf>
    <xf numFmtId="0" fontId="1" fillId="5" borderId="103" xfId="0" applyFont="1" applyFill="1" applyBorder="1" applyAlignment="1">
      <alignment horizontal="center"/>
    </xf>
    <xf numFmtId="164" fontId="1" fillId="4" borderId="106" xfId="0" applyNumberFormat="1" applyFont="1" applyFill="1" applyBorder="1" applyAlignment="1">
      <alignment horizontal="center"/>
    </xf>
    <xf numFmtId="9" fontId="1" fillId="4" borderId="103" xfId="1" applyNumberFormat="1" applyFont="1" applyFill="1" applyBorder="1" applyAlignment="1">
      <alignment horizontal="center"/>
    </xf>
    <xf numFmtId="9" fontId="1" fillId="0" borderId="103" xfId="0" applyNumberFormat="1" applyFont="1" applyBorder="1" applyAlignment="1">
      <alignment horizontal="center"/>
    </xf>
    <xf numFmtId="1" fontId="8" fillId="0" borderId="103" xfId="0" applyNumberFormat="1" applyFont="1" applyBorder="1" applyAlignment="1">
      <alignment horizontal="center"/>
    </xf>
    <xf numFmtId="49" fontId="1" fillId="0" borderId="103" xfId="0" applyNumberFormat="1" applyFont="1" applyFill="1" applyBorder="1"/>
    <xf numFmtId="3" fontId="8" fillId="0" borderId="103" xfId="0" applyNumberFormat="1" applyFont="1" applyBorder="1"/>
    <xf numFmtId="49" fontId="2" fillId="0" borderId="108" xfId="0" quotePrefix="1" applyNumberFormat="1" applyFont="1" applyFill="1" applyBorder="1"/>
    <xf numFmtId="1" fontId="9" fillId="0" borderId="108" xfId="0" applyNumberFormat="1" applyFont="1" applyBorder="1"/>
    <xf numFmtId="1" fontId="9" fillId="0" borderId="109" xfId="0" applyNumberFormat="1" applyFont="1" applyBorder="1"/>
    <xf numFmtId="49" fontId="2" fillId="3" borderId="111" xfId="0" applyNumberFormat="1" applyFont="1" applyFill="1" applyBorder="1"/>
    <xf numFmtId="14" fontId="2" fillId="3" borderId="111" xfId="0" applyNumberFormat="1" applyFont="1" applyFill="1" applyBorder="1" applyAlignment="1">
      <alignment horizontal="center"/>
    </xf>
    <xf numFmtId="49" fontId="2" fillId="0" borderId="112" xfId="0" applyNumberFormat="1" applyFont="1" applyFill="1" applyBorder="1"/>
    <xf numFmtId="3" fontId="1" fillId="4" borderId="111" xfId="0" applyNumberFormat="1" applyFont="1" applyFill="1" applyBorder="1"/>
    <xf numFmtId="3" fontId="1" fillId="2" borderId="111" xfId="0" applyNumberFormat="1" applyFont="1" applyFill="1" applyBorder="1"/>
    <xf numFmtId="3" fontId="10" fillId="2" borderId="111" xfId="0" applyNumberFormat="1" applyFont="1" applyFill="1" applyBorder="1"/>
    <xf numFmtId="3" fontId="12" fillId="2" borderId="111" xfId="0" applyNumberFormat="1" applyFont="1" applyFill="1" applyBorder="1"/>
    <xf numFmtId="3" fontId="15" fillId="4" borderId="111" xfId="0" applyNumberFormat="1" applyFont="1" applyFill="1" applyBorder="1"/>
    <xf numFmtId="0" fontId="2" fillId="3" borderId="111" xfId="0" applyNumberFormat="1" applyFont="1" applyFill="1" applyBorder="1" applyAlignment="1">
      <alignment horizontal="center"/>
    </xf>
    <xf numFmtId="169" fontId="8" fillId="0" borderId="0" xfId="0" applyNumberFormat="1" applyFont="1"/>
    <xf numFmtId="9" fontId="1" fillId="2" borderId="111" xfId="1" applyFont="1" applyFill="1" applyBorder="1"/>
    <xf numFmtId="49" fontId="2" fillId="0" borderId="111" xfId="0" applyNumberFormat="1" applyFont="1" applyFill="1" applyBorder="1"/>
    <xf numFmtId="9" fontId="1" fillId="4" borderId="111" xfId="0" applyNumberFormat="1" applyFont="1" applyFill="1" applyBorder="1" applyAlignment="1">
      <alignment horizontal="center"/>
    </xf>
    <xf numFmtId="3" fontId="1" fillId="4" borderId="110" xfId="0" applyNumberFormat="1" applyFont="1" applyFill="1" applyBorder="1"/>
    <xf numFmtId="9" fontId="1" fillId="5" borderId="111" xfId="0" applyNumberFormat="1" applyFont="1" applyFill="1" applyBorder="1" applyAlignment="1">
      <alignment horizontal="center"/>
    </xf>
    <xf numFmtId="9" fontId="1" fillId="4" borderId="110" xfId="1" applyNumberFormat="1" applyFont="1" applyFill="1" applyBorder="1" applyAlignment="1">
      <alignment horizontal="center"/>
    </xf>
    <xf numFmtId="9" fontId="1" fillId="4" borderId="111" xfId="1" applyFont="1" applyFill="1" applyBorder="1" applyAlignment="1">
      <alignment horizontal="center"/>
    </xf>
    <xf numFmtId="164" fontId="1" fillId="4" borderId="111" xfId="0" applyNumberFormat="1" applyFont="1" applyFill="1" applyBorder="1" applyAlignment="1">
      <alignment horizontal="center"/>
    </xf>
    <xf numFmtId="165" fontId="1" fillId="4" borderId="110" xfId="1" applyNumberFormat="1" applyFont="1" applyFill="1" applyBorder="1" applyAlignment="1">
      <alignment horizontal="center"/>
    </xf>
    <xf numFmtId="165" fontId="1" fillId="4" borderId="111" xfId="1" applyNumberFormat="1" applyFont="1" applyFill="1" applyBorder="1" applyAlignment="1">
      <alignment horizontal="center"/>
    </xf>
    <xf numFmtId="9" fontId="1" fillId="4" borderId="110" xfId="1" applyFont="1" applyFill="1" applyBorder="1" applyAlignment="1">
      <alignment horizontal="center"/>
    </xf>
    <xf numFmtId="0" fontId="1" fillId="5" borderId="111" xfId="0" applyFont="1" applyFill="1" applyBorder="1" applyAlignment="1">
      <alignment horizontal="center"/>
    </xf>
    <xf numFmtId="164" fontId="1" fillId="4" borderId="110" xfId="0" applyNumberFormat="1" applyFont="1" applyFill="1" applyBorder="1" applyAlignment="1">
      <alignment horizontal="center"/>
    </xf>
    <xf numFmtId="9" fontId="1" fillId="4" borderId="111" xfId="1" applyNumberFormat="1" applyFont="1" applyFill="1" applyBorder="1" applyAlignment="1">
      <alignment horizontal="center"/>
    </xf>
    <xf numFmtId="9" fontId="1" fillId="0" borderId="111" xfId="0" applyNumberFormat="1" applyFont="1" applyBorder="1" applyAlignment="1">
      <alignment horizontal="center"/>
    </xf>
    <xf numFmtId="1" fontId="8" fillId="0" borderId="111" xfId="0" applyNumberFormat="1" applyFont="1" applyBorder="1" applyAlignment="1">
      <alignment horizontal="center"/>
    </xf>
    <xf numFmtId="49" fontId="1" fillId="0" borderId="111" xfId="0" applyNumberFormat="1" applyFont="1" applyFill="1" applyBorder="1"/>
    <xf numFmtId="3" fontId="8" fillId="0" borderId="111" xfId="0" applyNumberFormat="1" applyFont="1" applyBorder="1"/>
    <xf numFmtId="49" fontId="2" fillId="0" borderId="98" xfId="0" quotePrefix="1" applyNumberFormat="1" applyFont="1" applyFill="1" applyBorder="1"/>
    <xf numFmtId="1" fontId="9" fillId="0" borderId="98" xfId="0" applyNumberFormat="1" applyFont="1" applyBorder="1"/>
    <xf numFmtId="1" fontId="9" fillId="0" borderId="99" xfId="0" applyNumberFormat="1" applyFont="1" applyBorder="1"/>
    <xf numFmtId="49" fontId="2" fillId="3" borderId="101" xfId="0" applyNumberFormat="1" applyFont="1" applyFill="1" applyBorder="1"/>
    <xf numFmtId="14" fontId="2" fillId="3" borderId="101" xfId="0" applyNumberFormat="1" applyFont="1" applyFill="1" applyBorder="1" applyAlignment="1">
      <alignment horizontal="center"/>
    </xf>
    <xf numFmtId="49" fontId="2" fillId="0" borderId="102" xfId="0" applyNumberFormat="1" applyFont="1" applyFill="1" applyBorder="1"/>
    <xf numFmtId="3" fontId="1" fillId="4" borderId="101" xfId="0" applyNumberFormat="1" applyFont="1" applyFill="1" applyBorder="1"/>
    <xf numFmtId="3" fontId="1" fillId="2" borderId="101" xfId="0" applyNumberFormat="1" applyFont="1" applyFill="1" applyBorder="1"/>
    <xf numFmtId="3" fontId="10" fillId="2" borderId="101" xfId="0" applyNumberFormat="1" applyFont="1" applyFill="1" applyBorder="1"/>
    <xf numFmtId="3" fontId="12" fillId="2" borderId="101" xfId="0" applyNumberFormat="1" applyFont="1" applyFill="1" applyBorder="1"/>
    <xf numFmtId="3" fontId="15" fillId="4" borderId="101" xfId="0" applyNumberFormat="1" applyFont="1" applyFill="1" applyBorder="1"/>
    <xf numFmtId="0" fontId="2" fillId="3" borderId="101" xfId="0" applyNumberFormat="1" applyFont="1" applyFill="1" applyBorder="1" applyAlignment="1">
      <alignment horizontal="center"/>
    </xf>
    <xf numFmtId="3" fontId="49" fillId="2" borderId="101" xfId="0" applyNumberFormat="1" applyFont="1" applyFill="1" applyBorder="1"/>
    <xf numFmtId="9" fontId="1" fillId="2" borderId="101" xfId="1" applyFont="1" applyFill="1" applyBorder="1"/>
    <xf numFmtId="49" fontId="2" fillId="0" borderId="67" xfId="2" applyNumberFormat="1" applyFont="1" applyFill="1" applyBorder="1"/>
    <xf numFmtId="166" fontId="2" fillId="7" borderId="14" xfId="2" applyNumberFormat="1" applyFont="1" applyFill="1" applyBorder="1" applyAlignment="1">
      <alignment horizontal="center"/>
    </xf>
    <xf numFmtId="0" fontId="1" fillId="8" borderId="8" xfId="2" applyFont="1" applyFill="1" applyBorder="1" applyAlignment="1" applyProtection="1">
      <alignment horizontal="center"/>
    </xf>
    <xf numFmtId="165" fontId="1" fillId="8" borderId="8" xfId="2" applyNumberFormat="1" applyFont="1" applyFill="1" applyBorder="1" applyAlignment="1" applyProtection="1">
      <alignment horizontal="center"/>
    </xf>
    <xf numFmtId="0" fontId="1" fillId="8" borderId="69" xfId="2" applyFont="1" applyFill="1" applyBorder="1" applyAlignment="1" applyProtection="1">
      <alignment horizontal="center"/>
    </xf>
    <xf numFmtId="9" fontId="1" fillId="8" borderId="8" xfId="2" applyNumberFormat="1" applyFont="1" applyFill="1" applyBorder="1" applyAlignment="1" applyProtection="1">
      <alignment horizontal="center"/>
    </xf>
    <xf numFmtId="49" fontId="2" fillId="0" borderId="113" xfId="0" quotePrefix="1" applyNumberFormat="1" applyFont="1" applyFill="1" applyBorder="1"/>
    <xf numFmtId="1" fontId="9" fillId="0" borderId="114" xfId="0" applyNumberFormat="1" applyFont="1" applyBorder="1"/>
    <xf numFmtId="1" fontId="9" fillId="0" borderId="115" xfId="0" applyNumberFormat="1" applyFont="1" applyBorder="1"/>
    <xf numFmtId="1" fontId="9" fillId="0" borderId="116" xfId="0" applyNumberFormat="1" applyFont="1" applyBorder="1"/>
    <xf numFmtId="49" fontId="2" fillId="3" borderId="113" xfId="0" applyNumberFormat="1" applyFont="1" applyFill="1" applyBorder="1"/>
    <xf numFmtId="14" fontId="2" fillId="3" borderId="113" xfId="0" applyNumberFormat="1" applyFont="1" applyFill="1" applyBorder="1" applyAlignment="1">
      <alignment horizontal="center"/>
    </xf>
    <xf numFmtId="49" fontId="2" fillId="0" borderId="117" xfId="0" applyNumberFormat="1" applyFont="1" applyFill="1" applyBorder="1"/>
    <xf numFmtId="3" fontId="1" fillId="4" borderId="113" xfId="0" applyNumberFormat="1" applyFont="1" applyFill="1" applyBorder="1"/>
    <xf numFmtId="3" fontId="1" fillId="2" borderId="113" xfId="0" applyNumberFormat="1" applyFont="1" applyFill="1" applyBorder="1"/>
    <xf numFmtId="3" fontId="10" fillId="2" borderId="113" xfId="0" applyNumberFormat="1" applyFont="1" applyFill="1" applyBorder="1"/>
    <xf numFmtId="3" fontId="12" fillId="2" borderId="113" xfId="0" applyNumberFormat="1" applyFont="1" applyFill="1" applyBorder="1"/>
    <xf numFmtId="3" fontId="15" fillId="4" borderId="113" xfId="0" applyNumberFormat="1" applyFont="1" applyFill="1" applyBorder="1"/>
    <xf numFmtId="0" fontId="2" fillId="3" borderId="113" xfId="0" applyNumberFormat="1" applyFont="1" applyFill="1" applyBorder="1" applyAlignment="1">
      <alignment horizontal="center"/>
    </xf>
    <xf numFmtId="9" fontId="1" fillId="2" borderId="113" xfId="1" applyFont="1" applyFill="1" applyBorder="1"/>
    <xf numFmtId="49" fontId="2" fillId="0" borderId="113" xfId="0" applyNumberFormat="1" applyFont="1" applyFill="1" applyBorder="1"/>
    <xf numFmtId="9" fontId="1" fillId="4" borderId="113" xfId="0" applyNumberFormat="1" applyFont="1" applyFill="1" applyBorder="1" applyAlignment="1">
      <alignment horizontal="center"/>
    </xf>
    <xf numFmtId="3" fontId="1" fillId="4" borderId="116" xfId="0" applyNumberFormat="1" applyFont="1" applyFill="1" applyBorder="1"/>
    <xf numFmtId="9" fontId="1" fillId="5" borderId="113" xfId="0" applyNumberFormat="1" applyFont="1" applyFill="1" applyBorder="1" applyAlignment="1">
      <alignment horizontal="center"/>
    </xf>
    <xf numFmtId="9" fontId="1" fillId="4" borderId="116" xfId="1" applyNumberFormat="1" applyFont="1" applyFill="1" applyBorder="1" applyAlignment="1">
      <alignment horizontal="center"/>
    </xf>
    <xf numFmtId="9" fontId="1" fillId="4" borderId="113" xfId="1" applyFont="1" applyFill="1" applyBorder="1" applyAlignment="1">
      <alignment horizontal="center"/>
    </xf>
    <xf numFmtId="164" fontId="1" fillId="4" borderId="113" xfId="0" applyNumberFormat="1" applyFont="1" applyFill="1" applyBorder="1" applyAlignment="1">
      <alignment horizontal="center"/>
    </xf>
    <xf numFmtId="165" fontId="1" fillId="4" borderId="116" xfId="1" applyNumberFormat="1" applyFont="1" applyFill="1" applyBorder="1" applyAlignment="1">
      <alignment horizontal="center"/>
    </xf>
    <xf numFmtId="165" fontId="1" fillId="4" borderId="113" xfId="1" applyNumberFormat="1" applyFont="1" applyFill="1" applyBorder="1" applyAlignment="1">
      <alignment horizontal="center"/>
    </xf>
    <xf numFmtId="9" fontId="1" fillId="4" borderId="116" xfId="1" applyFont="1" applyFill="1" applyBorder="1" applyAlignment="1">
      <alignment horizontal="center"/>
    </xf>
    <xf numFmtId="0" fontId="1" fillId="5" borderId="113" xfId="0" applyFont="1" applyFill="1" applyBorder="1" applyAlignment="1">
      <alignment horizontal="center"/>
    </xf>
    <xf numFmtId="164" fontId="1" fillId="4" borderId="116" xfId="0" applyNumberFormat="1" applyFont="1" applyFill="1" applyBorder="1" applyAlignment="1">
      <alignment horizontal="center"/>
    </xf>
    <xf numFmtId="9" fontId="1" fillId="4" borderId="113" xfId="1" applyNumberFormat="1" applyFont="1" applyFill="1" applyBorder="1" applyAlignment="1">
      <alignment horizontal="center"/>
    </xf>
    <xf numFmtId="9" fontId="1" fillId="0" borderId="113" xfId="0" applyNumberFormat="1" applyFont="1" applyBorder="1" applyAlignment="1">
      <alignment horizontal="center"/>
    </xf>
    <xf numFmtId="1" fontId="8" fillId="0" borderId="113" xfId="0" applyNumberFormat="1" applyFont="1" applyBorder="1" applyAlignment="1">
      <alignment horizontal="center"/>
    </xf>
    <xf numFmtId="49" fontId="1" fillId="0" borderId="113" xfId="0" applyNumberFormat="1" applyFont="1" applyFill="1" applyBorder="1"/>
    <xf numFmtId="3" fontId="8" fillId="0" borderId="113" xfId="0" applyNumberFormat="1" applyFont="1" applyBorder="1"/>
    <xf numFmtId="1" fontId="19" fillId="0" borderId="0" xfId="0" applyNumberFormat="1" applyFont="1"/>
    <xf numFmtId="49" fontId="2" fillId="0" borderId="118" xfId="0" quotePrefix="1" applyNumberFormat="1" applyFont="1" applyFill="1" applyBorder="1"/>
    <xf numFmtId="1" fontId="20" fillId="0" borderId="119" xfId="0" applyNumberFormat="1" applyFont="1" applyBorder="1"/>
    <xf numFmtId="1" fontId="20" fillId="0" borderId="120" xfId="0" applyNumberFormat="1" applyFont="1" applyBorder="1"/>
    <xf numFmtId="1" fontId="20" fillId="0" borderId="121" xfId="0" applyNumberFormat="1" applyFont="1" applyBorder="1"/>
    <xf numFmtId="49" fontId="2" fillId="16" borderId="118" xfId="0" applyNumberFormat="1" applyFont="1" applyFill="1" applyBorder="1"/>
    <xf numFmtId="14" fontId="2" fillId="16" borderId="118" xfId="0" applyNumberFormat="1" applyFont="1" applyFill="1" applyBorder="1" applyAlignment="1">
      <alignment horizontal="center"/>
    </xf>
    <xf numFmtId="49" fontId="2" fillId="0" borderId="122" xfId="0" applyNumberFormat="1" applyFont="1" applyFill="1" applyBorder="1"/>
    <xf numFmtId="3" fontId="1" fillId="17" borderId="118" xfId="0" applyNumberFormat="1" applyFont="1" applyFill="1" applyBorder="1"/>
    <xf numFmtId="3" fontId="1" fillId="15" borderId="118" xfId="0" applyNumberFormat="1" applyFont="1" applyFill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49" fontId="22" fillId="0" borderId="6" xfId="0" applyNumberFormat="1" applyFont="1" applyFill="1" applyBorder="1"/>
    <xf numFmtId="3" fontId="21" fillId="15" borderId="118" xfId="0" applyNumberFormat="1" applyFont="1" applyFill="1" applyBorder="1"/>
    <xf numFmtId="1" fontId="21" fillId="0" borderId="0" xfId="0" applyNumberFormat="1" applyFont="1"/>
    <xf numFmtId="0" fontId="23" fillId="0" borderId="0" xfId="0" applyFont="1"/>
    <xf numFmtId="3" fontId="23" fillId="15" borderId="118" xfId="0" applyNumberFormat="1" applyFont="1" applyFill="1" applyBorder="1"/>
    <xf numFmtId="1" fontId="23" fillId="0" borderId="0" xfId="0" applyNumberFormat="1" applyFont="1"/>
    <xf numFmtId="0" fontId="25" fillId="0" borderId="0" xfId="0" applyFont="1"/>
    <xf numFmtId="0" fontId="5" fillId="16" borderId="0" xfId="0" applyFont="1" applyFill="1"/>
    <xf numFmtId="0" fontId="5" fillId="16" borderId="0" xfId="0" applyFont="1" applyFill="1" applyAlignment="1">
      <alignment horizontal="left"/>
    </xf>
    <xf numFmtId="0" fontId="5" fillId="16" borderId="0" xfId="0" applyFont="1" applyFill="1" applyAlignment="1">
      <alignment horizontal="center"/>
    </xf>
    <xf numFmtId="49" fontId="26" fillId="16" borderId="20" xfId="0" applyNumberFormat="1" applyFont="1" applyFill="1" applyBorder="1"/>
    <xf numFmtId="3" fontId="24" fillId="17" borderId="118" xfId="0" applyNumberFormat="1" applyFont="1" applyFill="1" applyBorder="1"/>
    <xf numFmtId="1" fontId="27" fillId="0" borderId="0" xfId="0" applyNumberFormat="1" applyFont="1"/>
    <xf numFmtId="0" fontId="2" fillId="16" borderId="118" xfId="0" applyNumberFormat="1" applyFont="1" applyFill="1" applyBorder="1" applyAlignment="1">
      <alignment horizontal="center"/>
    </xf>
    <xf numFmtId="0" fontId="1" fillId="16" borderId="0" xfId="0" applyFont="1" applyFill="1"/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9" fontId="1" fillId="15" borderId="118" xfId="6" applyFont="1" applyFill="1" applyBorder="1"/>
    <xf numFmtId="49" fontId="2" fillId="0" borderId="118" xfId="0" applyNumberFormat="1" applyFont="1" applyFill="1" applyBorder="1"/>
    <xf numFmtId="9" fontId="1" fillId="17" borderId="118" xfId="0" applyNumberFormat="1" applyFont="1" applyFill="1" applyBorder="1" applyAlignment="1">
      <alignment horizontal="center"/>
    </xf>
    <xf numFmtId="3" fontId="1" fillId="17" borderId="121" xfId="0" applyNumberFormat="1" applyFont="1" applyFill="1" applyBorder="1"/>
    <xf numFmtId="9" fontId="1" fillId="18" borderId="118" xfId="0" applyNumberFormat="1" applyFont="1" applyFill="1" applyBorder="1" applyAlignment="1">
      <alignment horizontal="center"/>
    </xf>
    <xf numFmtId="9" fontId="1" fillId="17" borderId="121" xfId="6" applyNumberFormat="1" applyFont="1" applyFill="1" applyBorder="1" applyAlignment="1">
      <alignment horizontal="center"/>
    </xf>
    <xf numFmtId="9" fontId="1" fillId="17" borderId="118" xfId="6" applyFont="1" applyFill="1" applyBorder="1" applyAlignment="1">
      <alignment horizontal="center"/>
    </xf>
    <xf numFmtId="164" fontId="1" fillId="17" borderId="118" xfId="0" applyNumberFormat="1" applyFont="1" applyFill="1" applyBorder="1" applyAlignment="1">
      <alignment horizontal="center"/>
    </xf>
    <xf numFmtId="165" fontId="1" fillId="17" borderId="121" xfId="6" applyNumberFormat="1" applyFont="1" applyFill="1" applyBorder="1" applyAlignment="1">
      <alignment horizontal="center"/>
    </xf>
    <xf numFmtId="165" fontId="1" fillId="17" borderId="118" xfId="6" applyNumberFormat="1" applyFont="1" applyFill="1" applyBorder="1" applyAlignment="1">
      <alignment horizontal="center"/>
    </xf>
    <xf numFmtId="49" fontId="2" fillId="16" borderId="6" xfId="0" applyNumberFormat="1" applyFont="1" applyFill="1" applyBorder="1"/>
    <xf numFmtId="9" fontId="1" fillId="17" borderId="121" xfId="6" applyFont="1" applyFill="1" applyBorder="1" applyAlignment="1">
      <alignment horizontal="center"/>
    </xf>
    <xf numFmtId="0" fontId="1" fillId="18" borderId="118" xfId="0" applyFont="1" applyFill="1" applyBorder="1" applyAlignment="1">
      <alignment horizontal="center"/>
    </xf>
    <xf numFmtId="164" fontId="1" fillId="17" borderId="121" xfId="0" applyNumberFormat="1" applyFont="1" applyFill="1" applyBorder="1" applyAlignment="1">
      <alignment horizontal="center"/>
    </xf>
    <xf numFmtId="49" fontId="2" fillId="16" borderId="20" xfId="0" applyNumberFormat="1" applyFont="1" applyFill="1" applyBorder="1"/>
    <xf numFmtId="9" fontId="1" fillId="17" borderId="118" xfId="6" applyNumberFormat="1" applyFont="1" applyFill="1" applyBorder="1" applyAlignment="1">
      <alignment horizontal="center"/>
    </xf>
    <xf numFmtId="1" fontId="20" fillId="0" borderId="0" xfId="0" applyNumberFormat="1" applyFont="1"/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9" fontId="1" fillId="0" borderId="118" xfId="0" applyNumberFormat="1" applyFont="1" applyBorder="1" applyAlignment="1">
      <alignment horizontal="center"/>
    </xf>
    <xf numFmtId="1" fontId="19" fillId="0" borderId="118" xfId="0" applyNumberFormat="1" applyFont="1" applyBorder="1" applyAlignment="1">
      <alignment horizontal="center"/>
    </xf>
    <xf numFmtId="49" fontId="1" fillId="0" borderId="118" xfId="0" applyNumberFormat="1" applyFont="1" applyFill="1" applyBorder="1"/>
    <xf numFmtId="3" fontId="19" fillId="0" borderId="118" xfId="0" applyNumberFormat="1" applyFont="1" applyBorder="1"/>
    <xf numFmtId="49" fontId="2" fillId="0" borderId="123" xfId="0" quotePrefix="1" applyNumberFormat="1" applyFont="1" applyFill="1" applyBorder="1"/>
    <xf numFmtId="1" fontId="9" fillId="0" borderId="123" xfId="0" applyNumberFormat="1" applyFont="1" applyBorder="1"/>
    <xf numFmtId="1" fontId="9" fillId="0" borderId="124" xfId="0" applyNumberFormat="1" applyFont="1" applyBorder="1"/>
    <xf numFmtId="49" fontId="2" fillId="3" borderId="126" xfId="0" applyNumberFormat="1" applyFont="1" applyFill="1" applyBorder="1"/>
    <xf numFmtId="14" fontId="2" fillId="3" borderId="126" xfId="0" applyNumberFormat="1" applyFont="1" applyFill="1" applyBorder="1" applyAlignment="1">
      <alignment horizontal="center"/>
    </xf>
    <xf numFmtId="49" fontId="2" fillId="0" borderId="127" xfId="0" applyNumberFormat="1" applyFont="1" applyFill="1" applyBorder="1"/>
    <xf numFmtId="3" fontId="1" fillId="4" borderId="126" xfId="0" applyNumberFormat="1" applyFont="1" applyFill="1" applyBorder="1"/>
    <xf numFmtId="3" fontId="1" fillId="2" borderId="126" xfId="0" applyNumberFormat="1" applyFont="1" applyFill="1" applyBorder="1"/>
    <xf numFmtId="3" fontId="49" fillId="2" borderId="126" xfId="0" applyNumberFormat="1" applyFont="1" applyFill="1" applyBorder="1"/>
    <xf numFmtId="3" fontId="10" fillId="2" borderId="126" xfId="0" applyNumberFormat="1" applyFont="1" applyFill="1" applyBorder="1"/>
    <xf numFmtId="3" fontId="12" fillId="2" borderId="126" xfId="0" applyNumberFormat="1" applyFont="1" applyFill="1" applyBorder="1"/>
    <xf numFmtId="3" fontId="15" fillId="4" borderId="126" xfId="0" applyNumberFormat="1" applyFont="1" applyFill="1" applyBorder="1"/>
    <xf numFmtId="0" fontId="2" fillId="3" borderId="126" xfId="0" applyNumberFormat="1" applyFont="1" applyFill="1" applyBorder="1" applyAlignment="1">
      <alignment horizontal="center"/>
    </xf>
    <xf numFmtId="9" fontId="1" fillId="2" borderId="126" xfId="1" applyFont="1" applyFill="1" applyBorder="1"/>
    <xf numFmtId="49" fontId="2" fillId="0" borderId="126" xfId="0" applyNumberFormat="1" applyFont="1" applyFill="1" applyBorder="1"/>
    <xf numFmtId="9" fontId="1" fillId="4" borderId="126" xfId="0" applyNumberFormat="1" applyFont="1" applyFill="1" applyBorder="1" applyAlignment="1">
      <alignment horizontal="center"/>
    </xf>
    <xf numFmtId="3" fontId="1" fillId="4" borderId="125" xfId="0" applyNumberFormat="1" applyFont="1" applyFill="1" applyBorder="1"/>
    <xf numFmtId="9" fontId="1" fillId="5" borderId="126" xfId="0" applyNumberFormat="1" applyFont="1" applyFill="1" applyBorder="1" applyAlignment="1">
      <alignment horizontal="center"/>
    </xf>
    <xf numFmtId="9" fontId="1" fillId="4" borderId="125" xfId="1" applyNumberFormat="1" applyFont="1" applyFill="1" applyBorder="1" applyAlignment="1">
      <alignment horizontal="center"/>
    </xf>
    <xf numFmtId="9" fontId="1" fillId="4" borderId="126" xfId="1" applyFont="1" applyFill="1" applyBorder="1" applyAlignment="1">
      <alignment horizontal="center"/>
    </xf>
    <xf numFmtId="164" fontId="1" fillId="4" borderId="126" xfId="0" applyNumberFormat="1" applyFont="1" applyFill="1" applyBorder="1" applyAlignment="1">
      <alignment horizontal="center"/>
    </xf>
    <xf numFmtId="165" fontId="1" fillId="4" borderId="125" xfId="1" applyNumberFormat="1" applyFont="1" applyFill="1" applyBorder="1" applyAlignment="1">
      <alignment horizontal="center"/>
    </xf>
    <xf numFmtId="165" fontId="1" fillId="4" borderId="126" xfId="1" applyNumberFormat="1" applyFont="1" applyFill="1" applyBorder="1" applyAlignment="1">
      <alignment horizontal="center"/>
    </xf>
    <xf numFmtId="9" fontId="1" fillId="4" borderId="125" xfId="1" applyFont="1" applyFill="1" applyBorder="1" applyAlignment="1">
      <alignment horizontal="center"/>
    </xf>
    <xf numFmtId="0" fontId="1" fillId="5" borderId="126" xfId="0" applyFont="1" applyFill="1" applyBorder="1" applyAlignment="1">
      <alignment horizontal="center"/>
    </xf>
    <xf numFmtId="164" fontId="1" fillId="4" borderId="125" xfId="0" applyNumberFormat="1" applyFont="1" applyFill="1" applyBorder="1" applyAlignment="1">
      <alignment horizontal="center"/>
    </xf>
    <xf numFmtId="9" fontId="1" fillId="4" borderId="126" xfId="1" applyNumberFormat="1" applyFont="1" applyFill="1" applyBorder="1" applyAlignment="1">
      <alignment horizontal="center"/>
    </xf>
    <xf numFmtId="9" fontId="1" fillId="0" borderId="126" xfId="0" applyNumberFormat="1" applyFont="1" applyBorder="1" applyAlignment="1">
      <alignment horizontal="center"/>
    </xf>
    <xf numFmtId="1" fontId="8" fillId="0" borderId="126" xfId="0" applyNumberFormat="1" applyFont="1" applyBorder="1" applyAlignment="1">
      <alignment horizontal="center"/>
    </xf>
    <xf numFmtId="49" fontId="1" fillId="0" borderId="126" xfId="0" applyNumberFormat="1" applyFont="1" applyFill="1" applyBorder="1"/>
    <xf numFmtId="3" fontId="8" fillId="0" borderId="126" xfId="0" applyNumberFormat="1" applyFont="1" applyBorder="1"/>
    <xf numFmtId="0" fontId="0" fillId="0" borderId="0" xfId="0" applyFill="1"/>
    <xf numFmtId="0" fontId="1" fillId="0" borderId="0" xfId="7" applyFont="1" applyBorder="1" applyAlignment="1">
      <alignment horizontal="center"/>
    </xf>
    <xf numFmtId="1" fontId="2" fillId="0" borderId="0" xfId="7" applyNumberFormat="1" applyFont="1"/>
    <xf numFmtId="0" fontId="1" fillId="0" borderId="0" xfId="7" applyFont="1" applyBorder="1" applyAlignment="1">
      <alignment horizontal="left"/>
    </xf>
    <xf numFmtId="1" fontId="19" fillId="0" borderId="0" xfId="7" applyNumberFormat="1" applyFont="1"/>
    <xf numFmtId="0" fontId="2" fillId="0" borderId="0" xfId="7" applyFont="1" applyBorder="1" applyAlignment="1">
      <alignment horizontal="center"/>
    </xf>
    <xf numFmtId="49" fontId="2" fillId="0" borderId="8" xfId="7" applyNumberFormat="1" applyFont="1" applyFill="1" applyBorder="1"/>
    <xf numFmtId="1" fontId="20" fillId="0" borderId="67" xfId="7" applyNumberFormat="1" applyFont="1" applyBorder="1"/>
    <xf numFmtId="1" fontId="20" fillId="0" borderId="68" xfId="7" applyNumberFormat="1" applyFont="1" applyBorder="1"/>
    <xf numFmtId="1" fontId="20" fillId="0" borderId="69" xfId="7" applyNumberFormat="1" applyFont="1" applyBorder="1"/>
    <xf numFmtId="1" fontId="3" fillId="0" borderId="0" xfId="7" applyNumberFormat="1" applyFont="1"/>
    <xf numFmtId="49" fontId="2" fillId="19" borderId="8" xfId="7" applyNumberFormat="1" applyFont="1" applyFill="1" applyBorder="1"/>
    <xf numFmtId="170" fontId="2" fillId="19" borderId="8" xfId="7" applyNumberFormat="1" applyFont="1" applyFill="1" applyBorder="1" applyAlignment="1">
      <alignment horizontal="center"/>
    </xf>
    <xf numFmtId="0" fontId="1" fillId="0" borderId="0" xfId="7" applyFont="1" applyBorder="1"/>
    <xf numFmtId="49" fontId="2" fillId="0" borderId="70" xfId="7" applyNumberFormat="1" applyFont="1" applyFill="1" applyBorder="1"/>
    <xf numFmtId="3" fontId="1" fillId="20" borderId="8" xfId="7" applyNumberFormat="1" applyFont="1" applyFill="1" applyBorder="1"/>
    <xf numFmtId="0" fontId="1" fillId="0" borderId="0" xfId="7" applyFont="1"/>
    <xf numFmtId="0" fontId="1" fillId="0" borderId="0" xfId="7" applyFont="1" applyAlignment="1">
      <alignment horizontal="center"/>
    </xf>
    <xf numFmtId="49" fontId="2" fillId="0" borderId="13" xfId="7" applyNumberFormat="1" applyFont="1" applyFill="1" applyBorder="1"/>
    <xf numFmtId="0" fontId="1" fillId="0" borderId="0" xfId="7" applyFont="1" applyAlignment="1">
      <alignment horizontal="left"/>
    </xf>
    <xf numFmtId="0" fontId="4" fillId="0" borderId="0" xfId="7" applyFont="1" applyAlignment="1">
      <alignment horizontal="center"/>
    </xf>
    <xf numFmtId="3" fontId="1" fillId="6" borderId="8" xfId="7" applyNumberFormat="1" applyFont="1" applyFill="1" applyBorder="1"/>
    <xf numFmtId="0" fontId="5" fillId="0" borderId="0" xfId="7" applyFont="1" applyAlignment="1">
      <alignment horizontal="center"/>
    </xf>
    <xf numFmtId="0" fontId="1" fillId="0" borderId="0" xfId="7" applyFont="1" applyFill="1"/>
    <xf numFmtId="0" fontId="1" fillId="0" borderId="0" xfId="7" applyFont="1" applyFill="1" applyAlignment="1">
      <alignment horizontal="left"/>
    </xf>
    <xf numFmtId="0" fontId="21" fillId="0" borderId="0" xfId="7" applyFont="1" applyAlignment="1">
      <alignment horizontal="left"/>
    </xf>
    <xf numFmtId="0" fontId="21" fillId="0" borderId="0" xfId="7" applyFont="1" applyAlignment="1">
      <alignment horizontal="right"/>
    </xf>
    <xf numFmtId="49" fontId="22" fillId="0" borderId="13" xfId="7" applyNumberFormat="1" applyFont="1" applyFill="1" applyBorder="1"/>
    <xf numFmtId="3" fontId="21" fillId="6" borderId="8" xfId="7" applyNumberFormat="1" applyFont="1" applyFill="1" applyBorder="1"/>
    <xf numFmtId="1" fontId="21" fillId="0" borderId="0" xfId="7" applyNumberFormat="1" applyFont="1"/>
    <xf numFmtId="0" fontId="69" fillId="0" borderId="0" xfId="7" applyFont="1"/>
    <xf numFmtId="3" fontId="69" fillId="6" borderId="8" xfId="7" applyNumberFormat="1" applyFont="1" applyFill="1" applyBorder="1"/>
    <xf numFmtId="1" fontId="69" fillId="0" borderId="0" xfId="7" applyNumberFormat="1" applyFont="1"/>
    <xf numFmtId="0" fontId="1" fillId="0" borderId="0" xfId="7" applyFont="1" applyAlignment="1"/>
    <xf numFmtId="0" fontId="25" fillId="0" borderId="0" xfId="7" applyFont="1"/>
    <xf numFmtId="0" fontId="5" fillId="19" borderId="0" xfId="7" applyFont="1" applyFill="1"/>
    <xf numFmtId="0" fontId="5" fillId="19" borderId="0" xfId="7" applyFont="1" applyFill="1" applyAlignment="1">
      <alignment horizontal="left"/>
    </xf>
    <xf numFmtId="0" fontId="5" fillId="19" borderId="0" xfId="7" applyFont="1" applyFill="1" applyAlignment="1">
      <alignment horizontal="center"/>
    </xf>
    <xf numFmtId="49" fontId="26" fillId="19" borderId="14" xfId="7" applyNumberFormat="1" applyFont="1" applyFill="1" applyBorder="1"/>
    <xf numFmtId="3" fontId="24" fillId="20" borderId="8" xfId="7" applyNumberFormat="1" applyFont="1" applyFill="1" applyBorder="1"/>
    <xf numFmtId="1" fontId="27" fillId="0" borderId="0" xfId="7" applyNumberFormat="1" applyFont="1"/>
    <xf numFmtId="0" fontId="2" fillId="19" borderId="8" xfId="7" applyNumberFormat="1" applyFont="1" applyFill="1" applyBorder="1" applyAlignment="1">
      <alignment horizontal="center"/>
    </xf>
    <xf numFmtId="0" fontId="1" fillId="0" borderId="0" xfId="7" applyFont="1" applyFill="1" applyAlignment="1">
      <alignment horizontal="center"/>
    </xf>
    <xf numFmtId="0" fontId="1" fillId="19" borderId="0" xfId="7" applyFont="1" applyFill="1"/>
    <xf numFmtId="0" fontId="1" fillId="19" borderId="0" xfId="7" applyFont="1" applyFill="1" applyAlignment="1">
      <alignment horizontal="left"/>
    </xf>
    <xf numFmtId="0" fontId="1" fillId="19" borderId="0" xfId="7" applyFont="1" applyFill="1" applyAlignment="1">
      <alignment horizontal="center"/>
    </xf>
    <xf numFmtId="49" fontId="2" fillId="0" borderId="0" xfId="7" applyNumberFormat="1" applyFont="1" applyFill="1"/>
    <xf numFmtId="9" fontId="1" fillId="6" borderId="8" xfId="8" applyFont="1" applyFill="1" applyBorder="1" applyAlignment="1" applyProtection="1"/>
    <xf numFmtId="0" fontId="2" fillId="0" borderId="0" xfId="7" applyFont="1"/>
    <xf numFmtId="0" fontId="2" fillId="0" borderId="0" xfId="7" applyFont="1" applyAlignment="1">
      <alignment horizontal="center"/>
    </xf>
    <xf numFmtId="1" fontId="2" fillId="0" borderId="0" xfId="7" applyNumberFormat="1" applyFont="1" applyAlignment="1">
      <alignment vertical="center"/>
    </xf>
    <xf numFmtId="0" fontId="1" fillId="0" borderId="0" xfId="7" applyFont="1" applyAlignment="1">
      <alignment horizontal="left" vertical="center" wrapText="1"/>
    </xf>
    <xf numFmtId="0" fontId="1" fillId="0" borderId="0" xfId="7" applyFont="1" applyAlignment="1">
      <alignment wrapText="1"/>
    </xf>
    <xf numFmtId="49" fontId="2" fillId="0" borderId="13" xfId="7" applyNumberFormat="1" applyFont="1" applyFill="1" applyBorder="1" applyAlignment="1">
      <alignment vertical="center"/>
    </xf>
    <xf numFmtId="49" fontId="1" fillId="0" borderId="0" xfId="7" applyNumberFormat="1" applyFont="1" applyFill="1"/>
    <xf numFmtId="49" fontId="2" fillId="0" borderId="14" xfId="7" applyNumberFormat="1" applyFont="1" applyFill="1" applyBorder="1"/>
    <xf numFmtId="9" fontId="1" fillId="20" borderId="8" xfId="7" applyNumberFormat="1" applyFont="1" applyFill="1" applyBorder="1" applyAlignment="1">
      <alignment horizontal="center"/>
    </xf>
    <xf numFmtId="3" fontId="1" fillId="20" borderId="69" xfId="7" applyNumberFormat="1" applyFont="1" applyFill="1" applyBorder="1"/>
    <xf numFmtId="9" fontId="1" fillId="21" borderId="8" xfId="7" applyNumberFormat="1" applyFont="1" applyFill="1" applyBorder="1" applyAlignment="1">
      <alignment horizontal="center"/>
    </xf>
    <xf numFmtId="9" fontId="1" fillId="20" borderId="69" xfId="8" applyNumberFormat="1" applyFont="1" applyFill="1" applyBorder="1" applyAlignment="1" applyProtection="1">
      <alignment horizontal="center"/>
    </xf>
    <xf numFmtId="0" fontId="1" fillId="20" borderId="8" xfId="9" applyFont="1" applyFill="1" applyBorder="1" applyAlignment="1" applyProtection="1">
      <alignment horizontal="center"/>
    </xf>
    <xf numFmtId="164" fontId="1" fillId="20" borderId="8" xfId="7" applyNumberFormat="1" applyFont="1" applyFill="1" applyBorder="1" applyAlignment="1">
      <alignment horizontal="center"/>
    </xf>
    <xf numFmtId="165" fontId="1" fillId="20" borderId="69" xfId="8" applyNumberFormat="1" applyFont="1" applyFill="1" applyBorder="1" applyAlignment="1" applyProtection="1">
      <alignment horizontal="center"/>
    </xf>
    <xf numFmtId="165" fontId="1" fillId="20" borderId="8" xfId="8" applyNumberFormat="1" applyFont="1" applyFill="1" applyBorder="1" applyAlignment="1" applyProtection="1">
      <alignment horizontal="center"/>
    </xf>
    <xf numFmtId="165" fontId="1" fillId="20" borderId="8" xfId="9" applyNumberFormat="1" applyFont="1" applyFill="1" applyBorder="1" applyAlignment="1" applyProtection="1">
      <alignment horizontal="center"/>
    </xf>
    <xf numFmtId="49" fontId="2" fillId="19" borderId="13" xfId="7" applyNumberFormat="1" applyFont="1" applyFill="1" applyBorder="1"/>
    <xf numFmtId="0" fontId="2" fillId="0" borderId="0" xfId="7" applyFont="1" applyAlignment="1">
      <alignment horizontal="right"/>
    </xf>
    <xf numFmtId="9" fontId="1" fillId="20" borderId="69" xfId="8" applyFont="1" applyFill="1" applyBorder="1" applyAlignment="1" applyProtection="1">
      <alignment horizontal="center"/>
    </xf>
    <xf numFmtId="0" fontId="1" fillId="21" borderId="8" xfId="7" applyFont="1" applyFill="1" applyBorder="1" applyAlignment="1">
      <alignment horizontal="center"/>
    </xf>
    <xf numFmtId="164" fontId="1" fillId="20" borderId="8" xfId="9" applyNumberFormat="1" applyFont="1" applyFill="1" applyBorder="1" applyAlignment="1">
      <alignment horizontal="center"/>
    </xf>
    <xf numFmtId="164" fontId="1" fillId="20" borderId="69" xfId="7" applyNumberFormat="1" applyFont="1" applyFill="1" applyBorder="1" applyAlignment="1">
      <alignment horizontal="center"/>
    </xf>
    <xf numFmtId="170" fontId="1" fillId="0" borderId="0" xfId="7" applyNumberFormat="1" applyFont="1"/>
    <xf numFmtId="3" fontId="1" fillId="20" borderId="69" xfId="9" applyNumberFormat="1" applyFont="1" applyFill="1" applyBorder="1"/>
    <xf numFmtId="164" fontId="1" fillId="20" borderId="69" xfId="9" applyNumberFormat="1" applyFont="1" applyFill="1" applyBorder="1" applyAlignment="1">
      <alignment horizontal="center"/>
    </xf>
    <xf numFmtId="0" fontId="1" fillId="20" borderId="69" xfId="9" applyFont="1" applyFill="1" applyBorder="1" applyAlignment="1" applyProtection="1">
      <alignment horizontal="center"/>
    </xf>
    <xf numFmtId="49" fontId="2" fillId="19" borderId="14" xfId="7" applyNumberFormat="1" applyFont="1" applyFill="1" applyBorder="1"/>
    <xf numFmtId="0" fontId="1" fillId="0" borderId="0" xfId="7" applyFont="1" applyBorder="1" applyAlignment="1">
      <alignment horizontal="left" vertical="center" wrapText="1"/>
    </xf>
    <xf numFmtId="9" fontId="1" fillId="20" borderId="8" xfId="8" applyNumberFormat="1" applyFont="1" applyFill="1" applyBorder="1" applyAlignment="1" applyProtection="1">
      <alignment horizontal="center"/>
    </xf>
    <xf numFmtId="9" fontId="1" fillId="20" borderId="8" xfId="9" applyNumberFormat="1" applyFont="1" applyFill="1" applyBorder="1" applyAlignment="1" applyProtection="1">
      <alignment horizontal="center"/>
    </xf>
    <xf numFmtId="1" fontId="20" fillId="0" borderId="0" xfId="7" applyNumberFormat="1" applyFont="1"/>
    <xf numFmtId="1" fontId="20" fillId="0" borderId="0" xfId="7" applyNumberFormat="1" applyFont="1" applyAlignment="1">
      <alignment horizontal="left"/>
    </xf>
    <xf numFmtId="1" fontId="20" fillId="0" borderId="0" xfId="7" applyNumberFormat="1" applyFont="1" applyAlignment="1">
      <alignment horizontal="center"/>
    </xf>
    <xf numFmtId="1" fontId="19" fillId="0" borderId="0" xfId="7" applyNumberFormat="1" applyFont="1" applyAlignment="1">
      <alignment horizontal="left"/>
    </xf>
    <xf numFmtId="9" fontId="1" fillId="20" borderId="8" xfId="8" applyFont="1" applyFill="1" applyBorder="1" applyAlignment="1" applyProtection="1">
      <alignment horizontal="center"/>
    </xf>
    <xf numFmtId="9" fontId="1" fillId="0" borderId="8" xfId="7" applyNumberFormat="1" applyFont="1" applyBorder="1" applyAlignment="1">
      <alignment horizontal="center"/>
    </xf>
    <xf numFmtId="1" fontId="19" fillId="0" borderId="8" xfId="7" applyNumberFormat="1" applyFont="1" applyBorder="1" applyAlignment="1">
      <alignment horizontal="center"/>
    </xf>
    <xf numFmtId="49" fontId="1" fillId="0" borderId="8" xfId="7" applyNumberFormat="1" applyFont="1" applyFill="1" applyBorder="1"/>
    <xf numFmtId="3" fontId="19" fillId="0" borderId="8" xfId="7" applyNumberFormat="1" applyFont="1" applyBorder="1"/>
    <xf numFmtId="49" fontId="2" fillId="0" borderId="0" xfId="7" applyNumberFormat="1" applyFont="1" applyFill="1" applyBorder="1"/>
    <xf numFmtId="0" fontId="71" fillId="0" borderId="0" xfId="0" applyFont="1"/>
    <xf numFmtId="0" fontId="71" fillId="0" borderId="0" xfId="0" applyFont="1" applyFill="1"/>
    <xf numFmtId="1" fontId="9" fillId="0" borderId="82" xfId="0" applyNumberFormat="1" applyFont="1" applyBorder="1" applyAlignment="1">
      <alignment horizontal="right"/>
    </xf>
    <xf numFmtId="1" fontId="9" fillId="0" borderId="84" xfId="0" applyNumberFormat="1" applyFont="1" applyBorder="1" applyAlignment="1">
      <alignment horizontal="right"/>
    </xf>
    <xf numFmtId="3" fontId="1" fillId="2" borderId="82" xfId="0" applyNumberFormat="1" applyFont="1" applyFill="1" applyBorder="1" applyAlignment="1">
      <alignment horizontal="left"/>
    </xf>
    <xf numFmtId="3" fontId="1" fillId="2" borderId="83" xfId="0" applyNumberFormat="1" applyFont="1" applyFill="1" applyBorder="1" applyAlignment="1">
      <alignment horizontal="left"/>
    </xf>
    <xf numFmtId="3" fontId="1" fillId="2" borderId="84" xfId="0" applyNumberFormat="1" applyFont="1" applyFill="1" applyBorder="1" applyAlignment="1">
      <alignment horizontal="left"/>
    </xf>
    <xf numFmtId="0" fontId="2" fillId="3" borderId="82" xfId="0" applyFont="1" applyFill="1" applyBorder="1" applyAlignment="1">
      <alignment horizontal="center"/>
    </xf>
    <xf numFmtId="0" fontId="2" fillId="3" borderId="84" xfId="0" applyFont="1" applyFill="1" applyBorder="1" applyAlignment="1">
      <alignment horizontal="center"/>
    </xf>
    <xf numFmtId="1" fontId="9" fillId="0" borderId="57" xfId="0" applyNumberFormat="1" applyFont="1" applyBorder="1" applyAlignment="1">
      <alignment horizontal="right"/>
    </xf>
    <xf numFmtId="1" fontId="9" fillId="0" borderId="59" xfId="0" applyNumberFormat="1" applyFont="1" applyBorder="1" applyAlignment="1">
      <alignment horizontal="right"/>
    </xf>
    <xf numFmtId="3" fontId="1" fillId="2" borderId="57" xfId="0" applyNumberFormat="1" applyFont="1" applyFill="1" applyBorder="1" applyAlignment="1">
      <alignment horizontal="left"/>
    </xf>
    <xf numFmtId="3" fontId="1" fillId="2" borderId="58" xfId="0" applyNumberFormat="1" applyFont="1" applyFill="1" applyBorder="1" applyAlignment="1">
      <alignment horizontal="left"/>
    </xf>
    <xf numFmtId="3" fontId="1" fillId="2" borderId="59" xfId="0" applyNumberFormat="1" applyFont="1" applyFill="1" applyBorder="1" applyAlignment="1">
      <alignment horizontal="left"/>
    </xf>
    <xf numFmtId="0" fontId="2" fillId="3" borderId="57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1" fontId="9" fillId="0" borderId="108" xfId="0" applyNumberFormat="1" applyFont="1" applyBorder="1" applyAlignment="1">
      <alignment horizontal="right"/>
    </xf>
    <xf numFmtId="1" fontId="9" fillId="0" borderId="110" xfId="0" applyNumberFormat="1" applyFont="1" applyBorder="1" applyAlignment="1">
      <alignment horizontal="right"/>
    </xf>
    <xf numFmtId="3" fontId="1" fillId="2" borderId="108" xfId="0" applyNumberFormat="1" applyFont="1" applyFill="1" applyBorder="1" applyAlignment="1">
      <alignment horizontal="left"/>
    </xf>
    <xf numFmtId="3" fontId="1" fillId="2" borderId="109" xfId="0" applyNumberFormat="1" applyFont="1" applyFill="1" applyBorder="1" applyAlignment="1">
      <alignment horizontal="left"/>
    </xf>
    <xf numFmtId="3" fontId="1" fillId="2" borderId="110" xfId="0" applyNumberFormat="1" applyFont="1" applyFill="1" applyBorder="1" applyAlignment="1">
      <alignment horizontal="left"/>
    </xf>
    <xf numFmtId="0" fontId="2" fillId="3" borderId="108" xfId="0" applyFont="1" applyFill="1" applyBorder="1" applyAlignment="1">
      <alignment horizontal="center"/>
    </xf>
    <xf numFmtId="0" fontId="2" fillId="3" borderId="110" xfId="0" applyFont="1" applyFill="1" applyBorder="1" applyAlignment="1">
      <alignment horizontal="center"/>
    </xf>
    <xf numFmtId="1" fontId="20" fillId="0" borderId="8" xfId="2" applyNumberFormat="1" applyFont="1" applyBorder="1" applyAlignment="1">
      <alignment horizontal="right"/>
    </xf>
    <xf numFmtId="3" fontId="1" fillId="6" borderId="8" xfId="2" applyNumberFormat="1" applyFont="1" applyFill="1" applyBorder="1" applyAlignment="1">
      <alignment horizontal="left"/>
    </xf>
    <xf numFmtId="0" fontId="2" fillId="7" borderId="8" xfId="2" applyFont="1" applyFill="1" applyBorder="1" applyAlignment="1">
      <alignment horizontal="center"/>
    </xf>
    <xf numFmtId="1" fontId="32" fillId="0" borderId="26" xfId="4" applyNumberFormat="1" applyFont="1" applyBorder="1" applyAlignment="1">
      <alignment horizontal="right"/>
    </xf>
    <xf numFmtId="1" fontId="32" fillId="0" borderId="28" xfId="4" applyNumberFormat="1" applyFont="1" applyBorder="1" applyAlignment="1">
      <alignment horizontal="right"/>
    </xf>
    <xf numFmtId="3" fontId="29" fillId="2" borderId="26" xfId="4" applyNumberFormat="1" applyFont="1" applyFill="1" applyBorder="1" applyAlignment="1">
      <alignment horizontal="left"/>
    </xf>
    <xf numFmtId="3" fontId="29" fillId="2" borderId="27" xfId="4" applyNumberFormat="1" applyFont="1" applyFill="1" applyBorder="1" applyAlignment="1">
      <alignment horizontal="left"/>
    </xf>
    <xf numFmtId="3" fontId="29" fillId="2" borderId="28" xfId="4" applyNumberFormat="1" applyFont="1" applyFill="1" applyBorder="1" applyAlignment="1">
      <alignment horizontal="left"/>
    </xf>
    <xf numFmtId="0" fontId="30" fillId="3" borderId="26" xfId="4" applyFont="1" applyFill="1" applyBorder="1" applyAlignment="1">
      <alignment horizontal="center"/>
    </xf>
    <xf numFmtId="0" fontId="30" fillId="3" borderId="28" xfId="4" applyFont="1" applyFill="1" applyBorder="1" applyAlignment="1">
      <alignment horizontal="center"/>
    </xf>
    <xf numFmtId="1" fontId="20" fillId="0" borderId="87" xfId="0" applyNumberFormat="1" applyFont="1" applyFill="1" applyBorder="1" applyAlignment="1" applyProtection="1">
      <alignment horizontal="right"/>
    </xf>
    <xf numFmtId="1" fontId="20" fillId="0" borderId="89" xfId="0" applyNumberFormat="1" applyFont="1" applyFill="1" applyBorder="1" applyAlignment="1" applyProtection="1">
      <alignment horizontal="right"/>
    </xf>
    <xf numFmtId="3" fontId="1" fillId="2" borderId="87" xfId="0" applyNumberFormat="1" applyFont="1" applyFill="1" applyBorder="1" applyAlignment="1" applyProtection="1">
      <alignment horizontal="left"/>
    </xf>
    <xf numFmtId="3" fontId="1" fillId="2" borderId="88" xfId="0" applyNumberFormat="1" applyFont="1" applyFill="1" applyBorder="1" applyAlignment="1" applyProtection="1">
      <alignment horizontal="left"/>
    </xf>
    <xf numFmtId="3" fontId="1" fillId="2" borderId="89" xfId="0" applyNumberFormat="1" applyFont="1" applyFill="1" applyBorder="1" applyAlignment="1" applyProtection="1">
      <alignment horizontal="left"/>
    </xf>
    <xf numFmtId="0" fontId="2" fillId="12" borderId="87" xfId="0" applyNumberFormat="1" applyFont="1" applyFill="1" applyBorder="1" applyAlignment="1" applyProtection="1">
      <alignment horizontal="center"/>
    </xf>
    <xf numFmtId="0" fontId="2" fillId="12" borderId="89" xfId="0" applyNumberFormat="1" applyFont="1" applyFill="1" applyBorder="1" applyAlignment="1" applyProtection="1">
      <alignment horizontal="center"/>
    </xf>
    <xf numFmtId="1" fontId="9" fillId="0" borderId="47" xfId="0" applyNumberFormat="1" applyFont="1" applyBorder="1" applyAlignment="1">
      <alignment horizontal="right"/>
    </xf>
    <xf numFmtId="1" fontId="9" fillId="0" borderId="49" xfId="0" applyNumberFormat="1" applyFont="1" applyBorder="1" applyAlignment="1">
      <alignment horizontal="right"/>
    </xf>
    <xf numFmtId="3" fontId="1" fillId="2" borderId="47" xfId="0" applyNumberFormat="1" applyFont="1" applyFill="1" applyBorder="1" applyAlignment="1">
      <alignment horizontal="left"/>
    </xf>
    <xf numFmtId="3" fontId="1" fillId="2" borderId="48" xfId="0" applyNumberFormat="1" applyFont="1" applyFill="1" applyBorder="1" applyAlignment="1">
      <alignment horizontal="left"/>
    </xf>
    <xf numFmtId="3" fontId="1" fillId="2" borderId="49" xfId="0" applyNumberFormat="1" applyFont="1" applyFill="1" applyBorder="1" applyAlignment="1">
      <alignment horizontal="left"/>
    </xf>
    <xf numFmtId="0" fontId="2" fillId="3" borderId="4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1" fontId="9" fillId="0" borderId="71" xfId="0" applyNumberFormat="1" applyFont="1" applyBorder="1" applyAlignment="1">
      <alignment horizontal="right"/>
    </xf>
    <xf numFmtId="1" fontId="9" fillId="0" borderId="73" xfId="0" applyNumberFormat="1" applyFont="1" applyBorder="1" applyAlignment="1">
      <alignment horizontal="right"/>
    </xf>
    <xf numFmtId="3" fontId="1" fillId="2" borderId="71" xfId="0" applyNumberFormat="1" applyFont="1" applyFill="1" applyBorder="1" applyAlignment="1">
      <alignment horizontal="left"/>
    </xf>
    <xf numFmtId="3" fontId="1" fillId="2" borderId="72" xfId="0" applyNumberFormat="1" applyFont="1" applyFill="1" applyBorder="1" applyAlignment="1">
      <alignment horizontal="left"/>
    </xf>
    <xf numFmtId="3" fontId="1" fillId="2" borderId="73" xfId="0" applyNumberFormat="1" applyFont="1" applyFill="1" applyBorder="1" applyAlignment="1">
      <alignment horizontal="left"/>
    </xf>
    <xf numFmtId="0" fontId="2" fillId="3" borderId="71" xfId="0" applyFont="1" applyFill="1" applyBorder="1" applyAlignment="1">
      <alignment horizontal="center"/>
    </xf>
    <xf numFmtId="0" fontId="2" fillId="3" borderId="73" xfId="0" applyFont="1" applyFill="1" applyBorder="1" applyAlignment="1">
      <alignment horizontal="center"/>
    </xf>
    <xf numFmtId="1" fontId="9" fillId="0" borderId="98" xfId="0" applyNumberFormat="1" applyFont="1" applyBorder="1" applyAlignment="1">
      <alignment horizontal="right"/>
    </xf>
    <xf numFmtId="1" fontId="9" fillId="0" borderId="100" xfId="0" applyNumberFormat="1" applyFont="1" applyBorder="1" applyAlignment="1">
      <alignment horizontal="right"/>
    </xf>
    <xf numFmtId="3" fontId="1" fillId="2" borderId="98" xfId="0" applyNumberFormat="1" applyFont="1" applyFill="1" applyBorder="1" applyAlignment="1">
      <alignment horizontal="left"/>
    </xf>
    <xf numFmtId="3" fontId="1" fillId="2" borderId="99" xfId="0" applyNumberFormat="1" applyFont="1" applyFill="1" applyBorder="1" applyAlignment="1">
      <alignment horizontal="left"/>
    </xf>
    <xf numFmtId="3" fontId="1" fillId="2" borderId="100" xfId="0" applyNumberFormat="1" applyFont="1" applyFill="1" applyBorder="1" applyAlignment="1">
      <alignment horizontal="left"/>
    </xf>
    <xf numFmtId="0" fontId="57" fillId="3" borderId="98" xfId="0" applyFont="1" applyFill="1" applyBorder="1" applyAlignment="1">
      <alignment horizontal="center"/>
    </xf>
    <xf numFmtId="0" fontId="57" fillId="3" borderId="10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right"/>
    </xf>
    <xf numFmtId="1" fontId="9" fillId="0" borderId="53" xfId="0" applyNumberFormat="1" applyFont="1" applyBorder="1" applyAlignment="1">
      <alignment horizontal="right"/>
    </xf>
    <xf numFmtId="3" fontId="1" fillId="2" borderId="51" xfId="0" applyNumberFormat="1" applyFont="1" applyFill="1" applyBorder="1" applyAlignment="1">
      <alignment horizontal="left"/>
    </xf>
    <xf numFmtId="3" fontId="1" fillId="2" borderId="52" xfId="0" applyNumberFormat="1" applyFont="1" applyFill="1" applyBorder="1" applyAlignment="1">
      <alignment horizontal="left"/>
    </xf>
    <xf numFmtId="3" fontId="1" fillId="2" borderId="53" xfId="0" applyNumberFormat="1" applyFont="1" applyFill="1" applyBorder="1" applyAlignment="1">
      <alignment horizontal="left"/>
    </xf>
    <xf numFmtId="0" fontId="2" fillId="3" borderId="51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right"/>
    </xf>
    <xf numFmtId="1" fontId="9" fillId="0" borderId="34" xfId="0" applyNumberFormat="1" applyFont="1" applyBorder="1" applyAlignment="1">
      <alignment horizontal="right"/>
    </xf>
    <xf numFmtId="3" fontId="1" fillId="2" borderId="32" xfId="0" applyNumberFormat="1" applyFont="1" applyFill="1" applyBorder="1" applyAlignment="1">
      <alignment horizontal="left"/>
    </xf>
    <xf numFmtId="3" fontId="1" fillId="2" borderId="33" xfId="0" applyNumberFormat="1" applyFont="1" applyFill="1" applyBorder="1" applyAlignment="1">
      <alignment horizontal="left"/>
    </xf>
    <xf numFmtId="3" fontId="1" fillId="2" borderId="34" xfId="0" applyNumberFormat="1" applyFont="1" applyFill="1" applyBorder="1" applyAlignment="1">
      <alignment horizontal="left"/>
    </xf>
    <xf numFmtId="0" fontId="2" fillId="3" borderId="32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1" fontId="9" fillId="0" borderId="37" xfId="0" applyNumberFormat="1" applyFont="1" applyBorder="1" applyAlignment="1">
      <alignment horizontal="right"/>
    </xf>
    <xf numFmtId="1" fontId="9" fillId="0" borderId="39" xfId="0" applyNumberFormat="1" applyFont="1" applyBorder="1" applyAlignment="1">
      <alignment horizontal="right"/>
    </xf>
    <xf numFmtId="3" fontId="1" fillId="2" borderId="37" xfId="0" applyNumberFormat="1" applyFont="1" applyFill="1" applyBorder="1" applyAlignment="1">
      <alignment horizontal="left"/>
    </xf>
    <xf numFmtId="3" fontId="1" fillId="2" borderId="38" xfId="0" applyNumberFormat="1" applyFont="1" applyFill="1" applyBorder="1" applyAlignment="1">
      <alignment horizontal="left"/>
    </xf>
    <xf numFmtId="3" fontId="1" fillId="2" borderId="39" xfId="0" applyNumberFormat="1" applyFont="1" applyFill="1" applyBorder="1" applyAlignment="1">
      <alignment horizontal="left"/>
    </xf>
    <xf numFmtId="0" fontId="2" fillId="3" borderId="37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1" fontId="9" fillId="0" borderId="104" xfId="0" applyNumberFormat="1" applyFont="1" applyBorder="1" applyAlignment="1">
      <alignment horizontal="right"/>
    </xf>
    <xf numFmtId="1" fontId="9" fillId="0" borderId="106" xfId="0" applyNumberFormat="1" applyFont="1" applyBorder="1" applyAlignment="1">
      <alignment horizontal="right"/>
    </xf>
    <xf numFmtId="3" fontId="1" fillId="2" borderId="104" xfId="0" applyNumberFormat="1" applyFont="1" applyFill="1" applyBorder="1" applyAlignment="1">
      <alignment horizontal="left"/>
    </xf>
    <xf numFmtId="3" fontId="1" fillId="2" borderId="105" xfId="0" applyNumberFormat="1" applyFont="1" applyFill="1" applyBorder="1" applyAlignment="1">
      <alignment horizontal="left"/>
    </xf>
    <xf numFmtId="3" fontId="1" fillId="2" borderId="106" xfId="0" applyNumberFormat="1" applyFont="1" applyFill="1" applyBorder="1" applyAlignment="1">
      <alignment horizontal="left"/>
    </xf>
    <xf numFmtId="0" fontId="2" fillId="3" borderId="104" xfId="0" applyFont="1" applyFill="1" applyBorder="1" applyAlignment="1">
      <alignment horizontal="center"/>
    </xf>
    <xf numFmtId="0" fontId="2" fillId="3" borderId="106" xfId="0" applyFont="1" applyFill="1" applyBorder="1" applyAlignment="1">
      <alignment horizontal="center"/>
    </xf>
    <xf numFmtId="1" fontId="9" fillId="0" borderId="123" xfId="0" applyNumberFormat="1" applyFont="1" applyBorder="1" applyAlignment="1">
      <alignment horizontal="right"/>
    </xf>
    <xf numFmtId="1" fontId="9" fillId="0" borderId="125" xfId="0" applyNumberFormat="1" applyFont="1" applyBorder="1" applyAlignment="1">
      <alignment horizontal="right"/>
    </xf>
    <xf numFmtId="3" fontId="1" fillId="2" borderId="123" xfId="0" applyNumberFormat="1" applyFont="1" applyFill="1" applyBorder="1" applyAlignment="1">
      <alignment horizontal="left"/>
    </xf>
    <xf numFmtId="3" fontId="1" fillId="2" borderId="124" xfId="0" applyNumberFormat="1" applyFont="1" applyFill="1" applyBorder="1" applyAlignment="1">
      <alignment horizontal="left"/>
    </xf>
    <xf numFmtId="3" fontId="1" fillId="2" borderId="125" xfId="0" applyNumberFormat="1" applyFont="1" applyFill="1" applyBorder="1" applyAlignment="1">
      <alignment horizontal="left"/>
    </xf>
    <xf numFmtId="0" fontId="2" fillId="3" borderId="123" xfId="0" applyFont="1" applyFill="1" applyBorder="1" applyAlignment="1">
      <alignment horizontal="center"/>
    </xf>
    <xf numFmtId="0" fontId="2" fillId="3" borderId="125" xfId="0" applyFont="1" applyFill="1" applyBorder="1" applyAlignment="1">
      <alignment horizontal="center"/>
    </xf>
    <xf numFmtId="1" fontId="9" fillId="0" borderId="21" xfId="0" applyNumberFormat="1" applyFont="1" applyBorder="1" applyAlignment="1">
      <alignment horizontal="right"/>
    </xf>
    <xf numFmtId="1" fontId="9" fillId="0" borderId="23" xfId="0" applyNumberFormat="1" applyFont="1" applyBorder="1" applyAlignment="1">
      <alignment horizontal="right"/>
    </xf>
    <xf numFmtId="3" fontId="1" fillId="2" borderId="21" xfId="0" applyNumberFormat="1" applyFont="1" applyFill="1" applyBorder="1" applyAlignment="1">
      <alignment horizontal="left"/>
    </xf>
    <xf numFmtId="3" fontId="1" fillId="2" borderId="22" xfId="0" applyNumberFormat="1" applyFont="1" applyFill="1" applyBorder="1" applyAlignment="1">
      <alignment horizontal="left"/>
    </xf>
    <xf numFmtId="3" fontId="1" fillId="2" borderId="23" xfId="0" applyNumberFormat="1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3" fontId="1" fillId="2" borderId="16" xfId="0" applyNumberFormat="1" applyFont="1" applyFill="1" applyBorder="1" applyAlignment="1">
      <alignment horizontal="left"/>
    </xf>
    <xf numFmtId="3" fontId="1" fillId="2" borderId="17" xfId="0" applyNumberFormat="1" applyFont="1" applyFill="1" applyBorder="1" applyAlignment="1">
      <alignment horizontal="left"/>
    </xf>
    <xf numFmtId="3" fontId="1" fillId="2" borderId="18" xfId="0" applyNumberFormat="1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3" fontId="1" fillId="2" borderId="2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20" fillId="0" borderId="119" xfId="0" applyNumberFormat="1" applyFont="1" applyBorder="1" applyAlignment="1">
      <alignment horizontal="right"/>
    </xf>
    <xf numFmtId="1" fontId="20" fillId="0" borderId="121" xfId="0" applyNumberFormat="1" applyFont="1" applyBorder="1" applyAlignment="1">
      <alignment horizontal="right"/>
    </xf>
    <xf numFmtId="3" fontId="1" fillId="15" borderId="119" xfId="0" applyNumberFormat="1" applyFont="1" applyFill="1" applyBorder="1" applyAlignment="1">
      <alignment horizontal="left"/>
    </xf>
    <xf numFmtId="3" fontId="1" fillId="15" borderId="120" xfId="0" applyNumberFormat="1" applyFont="1" applyFill="1" applyBorder="1" applyAlignment="1">
      <alignment horizontal="left"/>
    </xf>
    <xf numFmtId="3" fontId="1" fillId="15" borderId="121" xfId="0" applyNumberFormat="1" applyFont="1" applyFill="1" applyBorder="1" applyAlignment="1">
      <alignment horizontal="left"/>
    </xf>
    <xf numFmtId="0" fontId="2" fillId="16" borderId="119" xfId="0" applyFont="1" applyFill="1" applyBorder="1" applyAlignment="1">
      <alignment horizontal="center"/>
    </xf>
    <xf numFmtId="0" fontId="2" fillId="16" borderId="121" xfId="0" applyFont="1" applyFill="1" applyBorder="1" applyAlignment="1">
      <alignment horizontal="center"/>
    </xf>
    <xf numFmtId="1" fontId="9" fillId="0" borderId="76" xfId="0" applyNumberFormat="1" applyFont="1" applyBorder="1" applyAlignment="1">
      <alignment horizontal="right"/>
    </xf>
    <xf numFmtId="1" fontId="9" fillId="0" borderId="78" xfId="0" applyNumberFormat="1" applyFont="1" applyBorder="1" applyAlignment="1">
      <alignment horizontal="right"/>
    </xf>
    <xf numFmtId="3" fontId="1" fillId="2" borderId="76" xfId="0" applyNumberFormat="1" applyFont="1" applyFill="1" applyBorder="1" applyAlignment="1">
      <alignment horizontal="left"/>
    </xf>
    <xf numFmtId="3" fontId="1" fillId="2" borderId="77" xfId="0" applyNumberFormat="1" applyFont="1" applyFill="1" applyBorder="1" applyAlignment="1">
      <alignment horizontal="left"/>
    </xf>
    <xf numFmtId="3" fontId="1" fillId="2" borderId="78" xfId="0" applyNumberFormat="1" applyFont="1" applyFill="1" applyBorder="1" applyAlignment="1">
      <alignment horizontal="left"/>
    </xf>
    <xf numFmtId="0" fontId="2" fillId="3" borderId="76" xfId="0" applyFont="1" applyFill="1" applyBorder="1" applyAlignment="1">
      <alignment horizontal="center"/>
    </xf>
    <xf numFmtId="0" fontId="2" fillId="3" borderId="78" xfId="0" applyFont="1" applyFill="1" applyBorder="1" applyAlignment="1">
      <alignment horizontal="center"/>
    </xf>
    <xf numFmtId="1" fontId="20" fillId="0" borderId="66" xfId="2" applyNumberFormat="1" applyFont="1" applyBorder="1" applyAlignment="1">
      <alignment horizontal="right"/>
    </xf>
    <xf numFmtId="3" fontId="1" fillId="6" borderId="67" xfId="2" applyNumberFormat="1" applyFont="1" applyFill="1" applyBorder="1" applyAlignment="1">
      <alignment horizontal="left"/>
    </xf>
    <xf numFmtId="3" fontId="1" fillId="6" borderId="66" xfId="2" applyNumberFormat="1" applyFont="1" applyFill="1" applyBorder="1" applyAlignment="1">
      <alignment horizontal="left"/>
    </xf>
    <xf numFmtId="0" fontId="2" fillId="7" borderId="66" xfId="2" applyFont="1" applyFill="1" applyBorder="1" applyAlignment="1">
      <alignment horizontal="center"/>
    </xf>
    <xf numFmtId="1" fontId="20" fillId="0" borderId="8" xfId="7" applyNumberFormat="1" applyFont="1" applyBorder="1" applyAlignment="1">
      <alignment horizontal="right"/>
    </xf>
    <xf numFmtId="3" fontId="1" fillId="6" borderId="8" xfId="7" applyNumberFormat="1" applyFont="1" applyFill="1" applyBorder="1" applyAlignment="1">
      <alignment horizontal="left"/>
    </xf>
    <xf numFmtId="0" fontId="2" fillId="19" borderId="8" xfId="7" applyFont="1" applyFill="1" applyBorder="1" applyAlignment="1">
      <alignment horizontal="center"/>
    </xf>
    <xf numFmtId="1" fontId="9" fillId="0" borderId="114" xfId="0" applyNumberFormat="1" applyFont="1" applyBorder="1" applyAlignment="1">
      <alignment horizontal="right"/>
    </xf>
    <xf numFmtId="1" fontId="9" fillId="0" borderId="116" xfId="0" applyNumberFormat="1" applyFont="1" applyBorder="1" applyAlignment="1">
      <alignment horizontal="right"/>
    </xf>
    <xf numFmtId="3" fontId="1" fillId="2" borderId="114" xfId="0" applyNumberFormat="1" applyFont="1" applyFill="1" applyBorder="1" applyAlignment="1">
      <alignment horizontal="left"/>
    </xf>
    <xf numFmtId="3" fontId="1" fillId="2" borderId="115" xfId="0" applyNumberFormat="1" applyFont="1" applyFill="1" applyBorder="1" applyAlignment="1">
      <alignment horizontal="left"/>
    </xf>
    <xf numFmtId="3" fontId="1" fillId="2" borderId="116" xfId="0" applyNumberFormat="1" applyFont="1" applyFill="1" applyBorder="1" applyAlignment="1">
      <alignment horizontal="left"/>
    </xf>
    <xf numFmtId="0" fontId="2" fillId="3" borderId="114" xfId="0" applyFont="1" applyFill="1" applyBorder="1" applyAlignment="1">
      <alignment horizontal="center"/>
    </xf>
    <xf numFmtId="0" fontId="2" fillId="3" borderId="116" xfId="0" applyFont="1" applyFill="1" applyBorder="1" applyAlignment="1">
      <alignment horizontal="center"/>
    </xf>
    <xf numFmtId="1" fontId="9" fillId="0" borderId="42" xfId="0" applyNumberFormat="1" applyFont="1" applyBorder="1" applyAlignment="1">
      <alignment horizontal="right"/>
    </xf>
    <xf numFmtId="1" fontId="9" fillId="0" borderId="44" xfId="0" applyNumberFormat="1" applyFont="1" applyBorder="1" applyAlignment="1">
      <alignment horizontal="right"/>
    </xf>
    <xf numFmtId="3" fontId="1" fillId="2" borderId="42" xfId="0" applyNumberFormat="1" applyFont="1" applyFill="1" applyBorder="1" applyAlignment="1">
      <alignment horizontal="left"/>
    </xf>
    <xf numFmtId="3" fontId="1" fillId="2" borderId="43" xfId="0" applyNumberFormat="1" applyFont="1" applyFill="1" applyBorder="1" applyAlignment="1">
      <alignment horizontal="left"/>
    </xf>
    <xf numFmtId="3" fontId="1" fillId="2" borderId="44" xfId="0" applyNumberFormat="1" applyFont="1" applyFill="1" applyBorder="1" applyAlignment="1">
      <alignment horizontal="left"/>
    </xf>
    <xf numFmtId="0" fontId="2" fillId="3" borderId="4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1" fontId="9" fillId="0" borderId="62" xfId="0" applyNumberFormat="1" applyFont="1" applyBorder="1" applyAlignment="1">
      <alignment horizontal="right"/>
    </xf>
    <xf numFmtId="1" fontId="9" fillId="0" borderId="64" xfId="0" applyNumberFormat="1" applyFont="1" applyBorder="1" applyAlignment="1">
      <alignment horizontal="right"/>
    </xf>
    <xf numFmtId="3" fontId="1" fillId="2" borderId="62" xfId="0" applyNumberFormat="1" applyFont="1" applyFill="1" applyBorder="1" applyAlignment="1">
      <alignment horizontal="left"/>
    </xf>
    <xf numFmtId="3" fontId="1" fillId="2" borderId="63" xfId="0" applyNumberFormat="1" applyFont="1" applyFill="1" applyBorder="1" applyAlignment="1">
      <alignment horizontal="left"/>
    </xf>
    <xf numFmtId="3" fontId="1" fillId="2" borderId="64" xfId="0" applyNumberFormat="1" applyFont="1" applyFill="1" applyBorder="1" applyAlignment="1">
      <alignment horizontal="left"/>
    </xf>
    <xf numFmtId="0" fontId="2" fillId="3" borderId="62" xfId="0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1" fontId="9" fillId="0" borderId="94" xfId="0" applyNumberFormat="1" applyFont="1" applyBorder="1" applyAlignment="1">
      <alignment horizontal="right"/>
    </xf>
    <xf numFmtId="1" fontId="9" fillId="0" borderId="96" xfId="0" applyNumberFormat="1" applyFont="1" applyBorder="1" applyAlignment="1">
      <alignment horizontal="right"/>
    </xf>
    <xf numFmtId="3" fontId="1" fillId="2" borderId="94" xfId="0" applyNumberFormat="1" applyFont="1" applyFill="1" applyBorder="1" applyAlignment="1">
      <alignment horizontal="left"/>
    </xf>
    <xf numFmtId="3" fontId="1" fillId="2" borderId="95" xfId="0" applyNumberFormat="1" applyFont="1" applyFill="1" applyBorder="1" applyAlignment="1">
      <alignment horizontal="left"/>
    </xf>
    <xf numFmtId="3" fontId="1" fillId="2" borderId="96" xfId="0" applyNumberFormat="1" applyFont="1" applyFill="1" applyBorder="1" applyAlignment="1">
      <alignment horizontal="left"/>
    </xf>
    <xf numFmtId="0" fontId="2" fillId="3" borderId="94" xfId="0" applyFont="1" applyFill="1" applyBorder="1" applyAlignment="1">
      <alignment horizontal="center"/>
    </xf>
    <xf numFmtId="0" fontId="2" fillId="3" borderId="96" xfId="0" applyFont="1" applyFill="1" applyBorder="1" applyAlignment="1">
      <alignment horizontal="center"/>
    </xf>
  </cellXfs>
  <cellStyles count="10">
    <cellStyle name="Excel Built-in Normal" xfId="7"/>
    <cellStyle name="Normal" xfId="0" builtinId="0"/>
    <cellStyle name="Normal 2" xfId="2"/>
    <cellStyle name="Normal 3" xfId="4"/>
    <cellStyle name="Normal 4" xfId="9"/>
    <cellStyle name="Percent" xfId="1" builtinId="5"/>
    <cellStyle name="Percent 2" xfId="3"/>
    <cellStyle name="Percent 3" xfId="5"/>
    <cellStyle name="Percent 4" xfId="6"/>
    <cellStyle name="Percent 5" xfId="8"/>
  </cellStyles>
  <dxfs count="1711"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14"/>
          <bgColor indexed="29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3"/>
          <bgColor indexed="26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26"/>
          <bgColor indexed="47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14"/>
          <bgColor indexed="29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29"/>
          <bgColor indexed="14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14"/>
          <bgColor indexed="29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14"/>
          <bgColor indexed="29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14"/>
          <bgColor indexed="29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3"/>
          <bgColor indexed="26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26"/>
          <bgColor indexed="47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14"/>
          <bgColor indexed="29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29"/>
          <bgColor indexed="14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46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14"/>
          <bgColor indexed="29"/>
        </patternFill>
      </fill>
    </dxf>
    <dxf>
      <fill>
        <patternFill patternType="solid">
          <fgColor indexed="42"/>
          <bgColor indexed="44"/>
        </patternFill>
      </fill>
    </dxf>
    <dxf>
      <fill>
        <patternFill patternType="solid">
          <fgColor indexed="14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3"/>
          <bgColor indexed="14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3"/>
          <bgColor indexed="14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3"/>
          <bgColor indexed="14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3"/>
          <bgColor indexed="14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3"/>
          <bgColor indexed="14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3"/>
          <bgColor indexed="14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rgb="FFFF33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  <dxf>
      <fill>
        <patternFill>
          <bgColor theme="9" tint="0.39994506668294322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A2" sqref="A2"/>
    </sheetView>
  </sheetViews>
  <sheetFormatPr defaultRowHeight="15" x14ac:dyDescent="0.25"/>
  <cols>
    <col min="1" max="1" width="6" customWidth="1"/>
    <col min="2" max="2" width="45.5703125" bestFit="1" customWidth="1"/>
    <col min="257" max="257" width="6" customWidth="1"/>
    <col min="258" max="258" width="45.5703125" bestFit="1" customWidth="1"/>
    <col min="513" max="513" width="6" customWidth="1"/>
    <col min="514" max="514" width="45.5703125" bestFit="1" customWidth="1"/>
    <col min="769" max="769" width="6" customWidth="1"/>
    <col min="770" max="770" width="45.5703125" bestFit="1" customWidth="1"/>
    <col min="1025" max="1025" width="6" customWidth="1"/>
    <col min="1026" max="1026" width="45.5703125" bestFit="1" customWidth="1"/>
    <col min="1281" max="1281" width="6" customWidth="1"/>
    <col min="1282" max="1282" width="45.5703125" bestFit="1" customWidth="1"/>
    <col min="1537" max="1537" width="6" customWidth="1"/>
    <col min="1538" max="1538" width="45.5703125" bestFit="1" customWidth="1"/>
    <col min="1793" max="1793" width="6" customWidth="1"/>
    <col min="1794" max="1794" width="45.5703125" bestFit="1" customWidth="1"/>
    <col min="2049" max="2049" width="6" customWidth="1"/>
    <col min="2050" max="2050" width="45.5703125" bestFit="1" customWidth="1"/>
    <col min="2305" max="2305" width="6" customWidth="1"/>
    <col min="2306" max="2306" width="45.5703125" bestFit="1" customWidth="1"/>
    <col min="2561" max="2561" width="6" customWidth="1"/>
    <col min="2562" max="2562" width="45.5703125" bestFit="1" customWidth="1"/>
    <col min="2817" max="2817" width="6" customWidth="1"/>
    <col min="2818" max="2818" width="45.5703125" bestFit="1" customWidth="1"/>
    <col min="3073" max="3073" width="6" customWidth="1"/>
    <col min="3074" max="3074" width="45.5703125" bestFit="1" customWidth="1"/>
    <col min="3329" max="3329" width="6" customWidth="1"/>
    <col min="3330" max="3330" width="45.5703125" bestFit="1" customWidth="1"/>
    <col min="3585" max="3585" width="6" customWidth="1"/>
    <col min="3586" max="3586" width="45.5703125" bestFit="1" customWidth="1"/>
    <col min="3841" max="3841" width="6" customWidth="1"/>
    <col min="3842" max="3842" width="45.5703125" bestFit="1" customWidth="1"/>
    <col min="4097" max="4097" width="6" customWidth="1"/>
    <col min="4098" max="4098" width="45.5703125" bestFit="1" customWidth="1"/>
    <col min="4353" max="4353" width="6" customWidth="1"/>
    <col min="4354" max="4354" width="45.5703125" bestFit="1" customWidth="1"/>
    <col min="4609" max="4609" width="6" customWidth="1"/>
    <col min="4610" max="4610" width="45.5703125" bestFit="1" customWidth="1"/>
    <col min="4865" max="4865" width="6" customWidth="1"/>
    <col min="4866" max="4866" width="45.5703125" bestFit="1" customWidth="1"/>
    <col min="5121" max="5121" width="6" customWidth="1"/>
    <col min="5122" max="5122" width="45.5703125" bestFit="1" customWidth="1"/>
    <col min="5377" max="5377" width="6" customWidth="1"/>
    <col min="5378" max="5378" width="45.5703125" bestFit="1" customWidth="1"/>
    <col min="5633" max="5633" width="6" customWidth="1"/>
    <col min="5634" max="5634" width="45.5703125" bestFit="1" customWidth="1"/>
    <col min="5889" max="5889" width="6" customWidth="1"/>
    <col min="5890" max="5890" width="45.5703125" bestFit="1" customWidth="1"/>
    <col min="6145" max="6145" width="6" customWidth="1"/>
    <col min="6146" max="6146" width="45.5703125" bestFit="1" customWidth="1"/>
    <col min="6401" max="6401" width="6" customWidth="1"/>
    <col min="6402" max="6402" width="45.5703125" bestFit="1" customWidth="1"/>
    <col min="6657" max="6657" width="6" customWidth="1"/>
    <col min="6658" max="6658" width="45.5703125" bestFit="1" customWidth="1"/>
    <col min="6913" max="6913" width="6" customWidth="1"/>
    <col min="6914" max="6914" width="45.5703125" bestFit="1" customWidth="1"/>
    <col min="7169" max="7169" width="6" customWidth="1"/>
    <col min="7170" max="7170" width="45.5703125" bestFit="1" customWidth="1"/>
    <col min="7425" max="7425" width="6" customWidth="1"/>
    <col min="7426" max="7426" width="45.5703125" bestFit="1" customWidth="1"/>
    <col min="7681" max="7681" width="6" customWidth="1"/>
    <col min="7682" max="7682" width="45.5703125" bestFit="1" customWidth="1"/>
    <col min="7937" max="7937" width="6" customWidth="1"/>
    <col min="7938" max="7938" width="45.5703125" bestFit="1" customWidth="1"/>
    <col min="8193" max="8193" width="6" customWidth="1"/>
    <col min="8194" max="8194" width="45.5703125" bestFit="1" customWidth="1"/>
    <col min="8449" max="8449" width="6" customWidth="1"/>
    <col min="8450" max="8450" width="45.5703125" bestFit="1" customWidth="1"/>
    <col min="8705" max="8705" width="6" customWidth="1"/>
    <col min="8706" max="8706" width="45.5703125" bestFit="1" customWidth="1"/>
    <col min="8961" max="8961" width="6" customWidth="1"/>
    <col min="8962" max="8962" width="45.5703125" bestFit="1" customWidth="1"/>
    <col min="9217" max="9217" width="6" customWidth="1"/>
    <col min="9218" max="9218" width="45.5703125" bestFit="1" customWidth="1"/>
    <col min="9473" max="9473" width="6" customWidth="1"/>
    <col min="9474" max="9474" width="45.5703125" bestFit="1" customWidth="1"/>
    <col min="9729" max="9729" width="6" customWidth="1"/>
    <col min="9730" max="9730" width="45.5703125" bestFit="1" customWidth="1"/>
    <col min="9985" max="9985" width="6" customWidth="1"/>
    <col min="9986" max="9986" width="45.5703125" bestFit="1" customWidth="1"/>
    <col min="10241" max="10241" width="6" customWidth="1"/>
    <col min="10242" max="10242" width="45.5703125" bestFit="1" customWidth="1"/>
    <col min="10497" max="10497" width="6" customWidth="1"/>
    <col min="10498" max="10498" width="45.5703125" bestFit="1" customWidth="1"/>
    <col min="10753" max="10753" width="6" customWidth="1"/>
    <col min="10754" max="10754" width="45.5703125" bestFit="1" customWidth="1"/>
    <col min="11009" max="11009" width="6" customWidth="1"/>
    <col min="11010" max="11010" width="45.5703125" bestFit="1" customWidth="1"/>
    <col min="11265" max="11265" width="6" customWidth="1"/>
    <col min="11266" max="11266" width="45.5703125" bestFit="1" customWidth="1"/>
    <col min="11521" max="11521" width="6" customWidth="1"/>
    <col min="11522" max="11522" width="45.5703125" bestFit="1" customWidth="1"/>
    <col min="11777" max="11777" width="6" customWidth="1"/>
    <col min="11778" max="11778" width="45.5703125" bestFit="1" customWidth="1"/>
    <col min="12033" max="12033" width="6" customWidth="1"/>
    <col min="12034" max="12034" width="45.5703125" bestFit="1" customWidth="1"/>
    <col min="12289" max="12289" width="6" customWidth="1"/>
    <col min="12290" max="12290" width="45.5703125" bestFit="1" customWidth="1"/>
    <col min="12545" max="12545" width="6" customWidth="1"/>
    <col min="12546" max="12546" width="45.5703125" bestFit="1" customWidth="1"/>
    <col min="12801" max="12801" width="6" customWidth="1"/>
    <col min="12802" max="12802" width="45.5703125" bestFit="1" customWidth="1"/>
    <col min="13057" max="13057" width="6" customWidth="1"/>
    <col min="13058" max="13058" width="45.5703125" bestFit="1" customWidth="1"/>
    <col min="13313" max="13313" width="6" customWidth="1"/>
    <col min="13314" max="13314" width="45.5703125" bestFit="1" customWidth="1"/>
    <col min="13569" max="13569" width="6" customWidth="1"/>
    <col min="13570" max="13570" width="45.5703125" bestFit="1" customWidth="1"/>
    <col min="13825" max="13825" width="6" customWidth="1"/>
    <col min="13826" max="13826" width="45.5703125" bestFit="1" customWidth="1"/>
    <col min="14081" max="14081" width="6" customWidth="1"/>
    <col min="14082" max="14082" width="45.5703125" bestFit="1" customWidth="1"/>
    <col min="14337" max="14337" width="6" customWidth="1"/>
    <col min="14338" max="14338" width="45.5703125" bestFit="1" customWidth="1"/>
    <col min="14593" max="14593" width="6" customWidth="1"/>
    <col min="14594" max="14594" width="45.5703125" bestFit="1" customWidth="1"/>
    <col min="14849" max="14849" width="6" customWidth="1"/>
    <col min="14850" max="14850" width="45.5703125" bestFit="1" customWidth="1"/>
    <col min="15105" max="15105" width="6" customWidth="1"/>
    <col min="15106" max="15106" width="45.5703125" bestFit="1" customWidth="1"/>
    <col min="15361" max="15361" width="6" customWidth="1"/>
    <col min="15362" max="15362" width="45.5703125" bestFit="1" customWidth="1"/>
    <col min="15617" max="15617" width="6" customWidth="1"/>
    <col min="15618" max="15618" width="45.5703125" bestFit="1" customWidth="1"/>
    <col min="15873" max="15873" width="6" customWidth="1"/>
    <col min="15874" max="15874" width="45.5703125" bestFit="1" customWidth="1"/>
    <col min="16129" max="16129" width="6" customWidth="1"/>
    <col min="16130" max="16130" width="45.5703125" bestFit="1" customWidth="1"/>
  </cols>
  <sheetData>
    <row r="1" spans="1:2" x14ac:dyDescent="0.25">
      <c r="A1" s="86" t="s">
        <v>355</v>
      </c>
    </row>
    <row r="2" spans="1:2" x14ac:dyDescent="0.25">
      <c r="A2" s="86" t="s">
        <v>356</v>
      </c>
    </row>
    <row r="3" spans="1:2" x14ac:dyDescent="0.25">
      <c r="A3" s="86"/>
    </row>
    <row r="4" spans="1:2" x14ac:dyDescent="0.25">
      <c r="A4" s="86" t="s">
        <v>357</v>
      </c>
    </row>
    <row r="6" spans="1:2" x14ac:dyDescent="0.25">
      <c r="A6" t="s">
        <v>358</v>
      </c>
    </row>
    <row r="8" spans="1:2" x14ac:dyDescent="0.25">
      <c r="A8" t="s">
        <v>359</v>
      </c>
      <c r="B8" s="1075" t="s">
        <v>360</v>
      </c>
    </row>
    <row r="9" spans="1:2" x14ac:dyDescent="0.25">
      <c r="A9" t="s">
        <v>361</v>
      </c>
      <c r="B9" s="1075" t="s">
        <v>362</v>
      </c>
    </row>
    <row r="10" spans="1:2" x14ac:dyDescent="0.25">
      <c r="A10" t="s">
        <v>363</v>
      </c>
      <c r="B10" s="1075" t="s">
        <v>364</v>
      </c>
    </row>
    <row r="11" spans="1:2" x14ac:dyDescent="0.25">
      <c r="A11" t="s">
        <v>365</v>
      </c>
      <c r="B11" s="1075" t="s">
        <v>366</v>
      </c>
    </row>
    <row r="12" spans="1:2" x14ac:dyDescent="0.25">
      <c r="A12" t="s">
        <v>367</v>
      </c>
      <c r="B12" s="1075" t="s">
        <v>368</v>
      </c>
    </row>
    <row r="13" spans="1:2" x14ac:dyDescent="0.25">
      <c r="A13" t="s">
        <v>369</v>
      </c>
      <c r="B13" s="1075" t="s">
        <v>370</v>
      </c>
    </row>
    <row r="14" spans="1:2" x14ac:dyDescent="0.25">
      <c r="A14" t="s">
        <v>371</v>
      </c>
      <c r="B14" s="1075" t="s">
        <v>372</v>
      </c>
    </row>
    <row r="15" spans="1:2" x14ac:dyDescent="0.25">
      <c r="A15" t="s">
        <v>373</v>
      </c>
      <c r="B15" s="1075" t="s">
        <v>374</v>
      </c>
    </row>
    <row r="16" spans="1:2" x14ac:dyDescent="0.25">
      <c r="A16" t="s">
        <v>375</v>
      </c>
      <c r="B16" s="1075" t="s">
        <v>376</v>
      </c>
    </row>
    <row r="17" spans="1:2" x14ac:dyDescent="0.25">
      <c r="A17" t="s">
        <v>377</v>
      </c>
      <c r="B17" s="1075" t="s">
        <v>378</v>
      </c>
    </row>
    <row r="18" spans="1:2" x14ac:dyDescent="0.25">
      <c r="A18" t="s">
        <v>379</v>
      </c>
      <c r="B18" s="1075" t="s">
        <v>380</v>
      </c>
    </row>
    <row r="19" spans="1:2" x14ac:dyDescent="0.25">
      <c r="A19" t="s">
        <v>381</v>
      </c>
      <c r="B19" s="1075" t="s">
        <v>382</v>
      </c>
    </row>
    <row r="20" spans="1:2" x14ac:dyDescent="0.25">
      <c r="A20" t="s">
        <v>383</v>
      </c>
      <c r="B20" s="1075" t="s">
        <v>384</v>
      </c>
    </row>
    <row r="21" spans="1:2" x14ac:dyDescent="0.25">
      <c r="A21" t="s">
        <v>385</v>
      </c>
      <c r="B21" s="1075" t="s">
        <v>386</v>
      </c>
    </row>
    <row r="22" spans="1:2" x14ac:dyDescent="0.25">
      <c r="A22" t="s">
        <v>387</v>
      </c>
      <c r="B22" s="1075" t="s">
        <v>388</v>
      </c>
    </row>
    <row r="23" spans="1:2" x14ac:dyDescent="0.25">
      <c r="A23" t="s">
        <v>389</v>
      </c>
      <c r="B23" s="1075" t="s">
        <v>390</v>
      </c>
    </row>
    <row r="24" spans="1:2" x14ac:dyDescent="0.25">
      <c r="A24" t="s">
        <v>391</v>
      </c>
      <c r="B24" s="1075" t="s">
        <v>392</v>
      </c>
    </row>
    <row r="25" spans="1:2" x14ac:dyDescent="0.25">
      <c r="A25" t="s">
        <v>393</v>
      </c>
      <c r="B25" s="1075" t="s">
        <v>394</v>
      </c>
    </row>
    <row r="26" spans="1:2" x14ac:dyDescent="0.25">
      <c r="A26" t="s">
        <v>395</v>
      </c>
      <c r="B26" s="1075" t="s">
        <v>396</v>
      </c>
    </row>
    <row r="27" spans="1:2" x14ac:dyDescent="0.25">
      <c r="A27" t="s">
        <v>397</v>
      </c>
      <c r="B27" s="1075" t="s">
        <v>398</v>
      </c>
    </row>
    <row r="28" spans="1:2" x14ac:dyDescent="0.25">
      <c r="A28" t="s">
        <v>399</v>
      </c>
      <c r="B28" s="1075" t="s">
        <v>400</v>
      </c>
    </row>
    <row r="29" spans="1:2" x14ac:dyDescent="0.25">
      <c r="A29" s="1164" t="s">
        <v>401</v>
      </c>
      <c r="B29" s="1165" t="s">
        <v>402</v>
      </c>
    </row>
    <row r="30" spans="1:2" x14ac:dyDescent="0.25">
      <c r="A30" t="s">
        <v>403</v>
      </c>
      <c r="B30" s="1075" t="s">
        <v>404</v>
      </c>
    </row>
    <row r="31" spans="1:2" x14ac:dyDescent="0.25">
      <c r="A31" t="s">
        <v>405</v>
      </c>
      <c r="B31" s="1075" t="s">
        <v>406</v>
      </c>
    </row>
    <row r="32" spans="1:2" x14ac:dyDescent="0.25">
      <c r="A32" t="s">
        <v>407</v>
      </c>
      <c r="B32" s="1075" t="s">
        <v>408</v>
      </c>
    </row>
    <row r="33" spans="1:2" x14ac:dyDescent="0.25">
      <c r="A33" t="s">
        <v>409</v>
      </c>
      <c r="B33" s="1075" t="s">
        <v>410</v>
      </c>
    </row>
    <row r="34" spans="1:2" x14ac:dyDescent="0.25">
      <c r="A34" t="s">
        <v>411</v>
      </c>
      <c r="B34" s="1075" t="s">
        <v>412</v>
      </c>
    </row>
    <row r="35" spans="1:2" x14ac:dyDescent="0.25">
      <c r="A35" t="s">
        <v>413</v>
      </c>
      <c r="B35" s="1075" t="s">
        <v>414</v>
      </c>
    </row>
    <row r="36" spans="1:2" x14ac:dyDescent="0.25">
      <c r="A36" t="s">
        <v>415</v>
      </c>
      <c r="B36" s="1075" t="s">
        <v>416</v>
      </c>
    </row>
    <row r="37" spans="1:2" x14ac:dyDescent="0.25">
      <c r="A37" t="s">
        <v>417</v>
      </c>
      <c r="B37" s="1075" t="s">
        <v>418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pane ySplit="3" topLeftCell="A4" activePane="bottomLeft" state="frozen"/>
      <selection pane="bottomLeft" activeCell="H2" sqref="H2"/>
    </sheetView>
  </sheetViews>
  <sheetFormatPr defaultRowHeight="12.75" x14ac:dyDescent="0.2"/>
  <cols>
    <col min="1" max="1" width="5.7109375" style="808" bestFit="1" customWidth="1"/>
    <col min="2" max="2" width="5" style="799" bestFit="1" customWidth="1"/>
    <col min="3" max="3" width="14.7109375" style="811" customWidth="1"/>
    <col min="4" max="4" width="7.28515625" style="811" customWidth="1"/>
    <col min="5" max="5" width="5.42578125" style="809" bestFit="1" customWidth="1"/>
    <col min="6" max="6" width="2.140625" style="808" customWidth="1"/>
    <col min="7" max="7" width="30.28515625" style="843" customWidth="1"/>
    <col min="8" max="8" width="10.7109375" style="801" customWidth="1"/>
    <col min="9" max="18" width="10.140625" style="801" bestFit="1" customWidth="1"/>
    <col min="19" max="256" width="9.140625" style="801"/>
    <col min="257" max="257" width="5.7109375" style="801" bestFit="1" customWidth="1"/>
    <col min="258" max="258" width="5" style="801" bestFit="1" customWidth="1"/>
    <col min="259" max="259" width="14.7109375" style="801" customWidth="1"/>
    <col min="260" max="260" width="7.28515625" style="801" customWidth="1"/>
    <col min="261" max="261" width="5.42578125" style="801" bestFit="1" customWidth="1"/>
    <col min="262" max="262" width="2.140625" style="801" customWidth="1"/>
    <col min="263" max="263" width="30.28515625" style="801" customWidth="1"/>
    <col min="264" max="264" width="10.7109375" style="801" customWidth="1"/>
    <col min="265" max="274" width="10.140625" style="801" bestFit="1" customWidth="1"/>
    <col min="275" max="512" width="9.140625" style="801"/>
    <col min="513" max="513" width="5.7109375" style="801" bestFit="1" customWidth="1"/>
    <col min="514" max="514" width="5" style="801" bestFit="1" customWidth="1"/>
    <col min="515" max="515" width="14.7109375" style="801" customWidth="1"/>
    <col min="516" max="516" width="7.28515625" style="801" customWidth="1"/>
    <col min="517" max="517" width="5.42578125" style="801" bestFit="1" customWidth="1"/>
    <col min="518" max="518" width="2.140625" style="801" customWidth="1"/>
    <col min="519" max="519" width="30.28515625" style="801" customWidth="1"/>
    <col min="520" max="520" width="10.7109375" style="801" customWidth="1"/>
    <col min="521" max="530" width="10.140625" style="801" bestFit="1" customWidth="1"/>
    <col min="531" max="768" width="9.140625" style="801"/>
    <col min="769" max="769" width="5.7109375" style="801" bestFit="1" customWidth="1"/>
    <col min="770" max="770" width="5" style="801" bestFit="1" customWidth="1"/>
    <col min="771" max="771" width="14.7109375" style="801" customWidth="1"/>
    <col min="772" max="772" width="7.28515625" style="801" customWidth="1"/>
    <col min="773" max="773" width="5.42578125" style="801" bestFit="1" customWidth="1"/>
    <col min="774" max="774" width="2.140625" style="801" customWidth="1"/>
    <col min="775" max="775" width="30.28515625" style="801" customWidth="1"/>
    <col min="776" max="776" width="10.7109375" style="801" customWidth="1"/>
    <col min="777" max="786" width="10.140625" style="801" bestFit="1" customWidth="1"/>
    <col min="787" max="1024" width="9.140625" style="801"/>
    <col min="1025" max="1025" width="5.7109375" style="801" bestFit="1" customWidth="1"/>
    <col min="1026" max="1026" width="5" style="801" bestFit="1" customWidth="1"/>
    <col min="1027" max="1027" width="14.7109375" style="801" customWidth="1"/>
    <col min="1028" max="1028" width="7.28515625" style="801" customWidth="1"/>
    <col min="1029" max="1029" width="5.42578125" style="801" bestFit="1" customWidth="1"/>
    <col min="1030" max="1030" width="2.140625" style="801" customWidth="1"/>
    <col min="1031" max="1031" width="30.28515625" style="801" customWidth="1"/>
    <col min="1032" max="1032" width="10.7109375" style="801" customWidth="1"/>
    <col min="1033" max="1042" width="10.140625" style="801" bestFit="1" customWidth="1"/>
    <col min="1043" max="1280" width="9.140625" style="801"/>
    <col min="1281" max="1281" width="5.7109375" style="801" bestFit="1" customWidth="1"/>
    <col min="1282" max="1282" width="5" style="801" bestFit="1" customWidth="1"/>
    <col min="1283" max="1283" width="14.7109375" style="801" customWidth="1"/>
    <col min="1284" max="1284" width="7.28515625" style="801" customWidth="1"/>
    <col min="1285" max="1285" width="5.42578125" style="801" bestFit="1" customWidth="1"/>
    <col min="1286" max="1286" width="2.140625" style="801" customWidth="1"/>
    <col min="1287" max="1287" width="30.28515625" style="801" customWidth="1"/>
    <col min="1288" max="1288" width="10.7109375" style="801" customWidth="1"/>
    <col min="1289" max="1298" width="10.140625" style="801" bestFit="1" customWidth="1"/>
    <col min="1299" max="1536" width="9.140625" style="801"/>
    <col min="1537" max="1537" width="5.7109375" style="801" bestFit="1" customWidth="1"/>
    <col min="1538" max="1538" width="5" style="801" bestFit="1" customWidth="1"/>
    <col min="1539" max="1539" width="14.7109375" style="801" customWidth="1"/>
    <col min="1540" max="1540" width="7.28515625" style="801" customWidth="1"/>
    <col min="1541" max="1541" width="5.42578125" style="801" bestFit="1" customWidth="1"/>
    <col min="1542" max="1542" width="2.140625" style="801" customWidth="1"/>
    <col min="1543" max="1543" width="30.28515625" style="801" customWidth="1"/>
    <col min="1544" max="1544" width="10.7109375" style="801" customWidth="1"/>
    <col min="1545" max="1554" width="10.140625" style="801" bestFit="1" customWidth="1"/>
    <col min="1555" max="1792" width="9.140625" style="801"/>
    <col min="1793" max="1793" width="5.7109375" style="801" bestFit="1" customWidth="1"/>
    <col min="1794" max="1794" width="5" style="801" bestFit="1" customWidth="1"/>
    <col min="1795" max="1795" width="14.7109375" style="801" customWidth="1"/>
    <col min="1796" max="1796" width="7.28515625" style="801" customWidth="1"/>
    <col min="1797" max="1797" width="5.42578125" style="801" bestFit="1" customWidth="1"/>
    <col min="1798" max="1798" width="2.140625" style="801" customWidth="1"/>
    <col min="1799" max="1799" width="30.28515625" style="801" customWidth="1"/>
    <col min="1800" max="1800" width="10.7109375" style="801" customWidth="1"/>
    <col min="1801" max="1810" width="10.140625" style="801" bestFit="1" customWidth="1"/>
    <col min="1811" max="2048" width="9.140625" style="801"/>
    <col min="2049" max="2049" width="5.7109375" style="801" bestFit="1" customWidth="1"/>
    <col min="2050" max="2050" width="5" style="801" bestFit="1" customWidth="1"/>
    <col min="2051" max="2051" width="14.7109375" style="801" customWidth="1"/>
    <col min="2052" max="2052" width="7.28515625" style="801" customWidth="1"/>
    <col min="2053" max="2053" width="5.42578125" style="801" bestFit="1" customWidth="1"/>
    <col min="2054" max="2054" width="2.140625" style="801" customWidth="1"/>
    <col min="2055" max="2055" width="30.28515625" style="801" customWidth="1"/>
    <col min="2056" max="2056" width="10.7109375" style="801" customWidth="1"/>
    <col min="2057" max="2066" width="10.140625" style="801" bestFit="1" customWidth="1"/>
    <col min="2067" max="2304" width="9.140625" style="801"/>
    <col min="2305" max="2305" width="5.7109375" style="801" bestFit="1" customWidth="1"/>
    <col min="2306" max="2306" width="5" style="801" bestFit="1" customWidth="1"/>
    <col min="2307" max="2307" width="14.7109375" style="801" customWidth="1"/>
    <col min="2308" max="2308" width="7.28515625" style="801" customWidth="1"/>
    <col min="2309" max="2309" width="5.42578125" style="801" bestFit="1" customWidth="1"/>
    <col min="2310" max="2310" width="2.140625" style="801" customWidth="1"/>
    <col min="2311" max="2311" width="30.28515625" style="801" customWidth="1"/>
    <col min="2312" max="2312" width="10.7109375" style="801" customWidth="1"/>
    <col min="2313" max="2322" width="10.140625" style="801" bestFit="1" customWidth="1"/>
    <col min="2323" max="2560" width="9.140625" style="801"/>
    <col min="2561" max="2561" width="5.7109375" style="801" bestFit="1" customWidth="1"/>
    <col min="2562" max="2562" width="5" style="801" bestFit="1" customWidth="1"/>
    <col min="2563" max="2563" width="14.7109375" style="801" customWidth="1"/>
    <col min="2564" max="2564" width="7.28515625" style="801" customWidth="1"/>
    <col min="2565" max="2565" width="5.42578125" style="801" bestFit="1" customWidth="1"/>
    <col min="2566" max="2566" width="2.140625" style="801" customWidth="1"/>
    <col min="2567" max="2567" width="30.28515625" style="801" customWidth="1"/>
    <col min="2568" max="2568" width="10.7109375" style="801" customWidth="1"/>
    <col min="2569" max="2578" width="10.140625" style="801" bestFit="1" customWidth="1"/>
    <col min="2579" max="2816" width="9.140625" style="801"/>
    <col min="2817" max="2817" width="5.7109375" style="801" bestFit="1" customWidth="1"/>
    <col min="2818" max="2818" width="5" style="801" bestFit="1" customWidth="1"/>
    <col min="2819" max="2819" width="14.7109375" style="801" customWidth="1"/>
    <col min="2820" max="2820" width="7.28515625" style="801" customWidth="1"/>
    <col min="2821" max="2821" width="5.42578125" style="801" bestFit="1" customWidth="1"/>
    <col min="2822" max="2822" width="2.140625" style="801" customWidth="1"/>
    <col min="2823" max="2823" width="30.28515625" style="801" customWidth="1"/>
    <col min="2824" max="2824" width="10.7109375" style="801" customWidth="1"/>
    <col min="2825" max="2834" width="10.140625" style="801" bestFit="1" customWidth="1"/>
    <col min="2835" max="3072" width="9.140625" style="801"/>
    <col min="3073" max="3073" width="5.7109375" style="801" bestFit="1" customWidth="1"/>
    <col min="3074" max="3074" width="5" style="801" bestFit="1" customWidth="1"/>
    <col min="3075" max="3075" width="14.7109375" style="801" customWidth="1"/>
    <col min="3076" max="3076" width="7.28515625" style="801" customWidth="1"/>
    <col min="3077" max="3077" width="5.42578125" style="801" bestFit="1" customWidth="1"/>
    <col min="3078" max="3078" width="2.140625" style="801" customWidth="1"/>
    <col min="3079" max="3079" width="30.28515625" style="801" customWidth="1"/>
    <col min="3080" max="3080" width="10.7109375" style="801" customWidth="1"/>
    <col min="3081" max="3090" width="10.140625" style="801" bestFit="1" customWidth="1"/>
    <col min="3091" max="3328" width="9.140625" style="801"/>
    <col min="3329" max="3329" width="5.7109375" style="801" bestFit="1" customWidth="1"/>
    <col min="3330" max="3330" width="5" style="801" bestFit="1" customWidth="1"/>
    <col min="3331" max="3331" width="14.7109375" style="801" customWidth="1"/>
    <col min="3332" max="3332" width="7.28515625" style="801" customWidth="1"/>
    <col min="3333" max="3333" width="5.42578125" style="801" bestFit="1" customWidth="1"/>
    <col min="3334" max="3334" width="2.140625" style="801" customWidth="1"/>
    <col min="3335" max="3335" width="30.28515625" style="801" customWidth="1"/>
    <col min="3336" max="3336" width="10.7109375" style="801" customWidth="1"/>
    <col min="3337" max="3346" width="10.140625" style="801" bestFit="1" customWidth="1"/>
    <col min="3347" max="3584" width="9.140625" style="801"/>
    <col min="3585" max="3585" width="5.7109375" style="801" bestFit="1" customWidth="1"/>
    <col min="3586" max="3586" width="5" style="801" bestFit="1" customWidth="1"/>
    <col min="3587" max="3587" width="14.7109375" style="801" customWidth="1"/>
    <col min="3588" max="3588" width="7.28515625" style="801" customWidth="1"/>
    <col min="3589" max="3589" width="5.42578125" style="801" bestFit="1" customWidth="1"/>
    <col min="3590" max="3590" width="2.140625" style="801" customWidth="1"/>
    <col min="3591" max="3591" width="30.28515625" style="801" customWidth="1"/>
    <col min="3592" max="3592" width="10.7109375" style="801" customWidth="1"/>
    <col min="3593" max="3602" width="10.140625" style="801" bestFit="1" customWidth="1"/>
    <col min="3603" max="3840" width="9.140625" style="801"/>
    <col min="3841" max="3841" width="5.7109375" style="801" bestFit="1" customWidth="1"/>
    <col min="3842" max="3842" width="5" style="801" bestFit="1" customWidth="1"/>
    <col min="3843" max="3843" width="14.7109375" style="801" customWidth="1"/>
    <col min="3844" max="3844" width="7.28515625" style="801" customWidth="1"/>
    <col min="3845" max="3845" width="5.42578125" style="801" bestFit="1" customWidth="1"/>
    <col min="3846" max="3846" width="2.140625" style="801" customWidth="1"/>
    <col min="3847" max="3847" width="30.28515625" style="801" customWidth="1"/>
    <col min="3848" max="3848" width="10.7109375" style="801" customWidth="1"/>
    <col min="3849" max="3858" width="10.140625" style="801" bestFit="1" customWidth="1"/>
    <col min="3859" max="4096" width="9.140625" style="801"/>
    <col min="4097" max="4097" width="5.7109375" style="801" bestFit="1" customWidth="1"/>
    <col min="4098" max="4098" width="5" style="801" bestFit="1" customWidth="1"/>
    <col min="4099" max="4099" width="14.7109375" style="801" customWidth="1"/>
    <col min="4100" max="4100" width="7.28515625" style="801" customWidth="1"/>
    <col min="4101" max="4101" width="5.42578125" style="801" bestFit="1" customWidth="1"/>
    <col min="4102" max="4102" width="2.140625" style="801" customWidth="1"/>
    <col min="4103" max="4103" width="30.28515625" style="801" customWidth="1"/>
    <col min="4104" max="4104" width="10.7109375" style="801" customWidth="1"/>
    <col min="4105" max="4114" width="10.140625" style="801" bestFit="1" customWidth="1"/>
    <col min="4115" max="4352" width="9.140625" style="801"/>
    <col min="4353" max="4353" width="5.7109375" style="801" bestFit="1" customWidth="1"/>
    <col min="4354" max="4354" width="5" style="801" bestFit="1" customWidth="1"/>
    <col min="4355" max="4355" width="14.7109375" style="801" customWidth="1"/>
    <col min="4356" max="4356" width="7.28515625" style="801" customWidth="1"/>
    <col min="4357" max="4357" width="5.42578125" style="801" bestFit="1" customWidth="1"/>
    <col min="4358" max="4358" width="2.140625" style="801" customWidth="1"/>
    <col min="4359" max="4359" width="30.28515625" style="801" customWidth="1"/>
    <col min="4360" max="4360" width="10.7109375" style="801" customWidth="1"/>
    <col min="4361" max="4370" width="10.140625" style="801" bestFit="1" customWidth="1"/>
    <col min="4371" max="4608" width="9.140625" style="801"/>
    <col min="4609" max="4609" width="5.7109375" style="801" bestFit="1" customWidth="1"/>
    <col min="4610" max="4610" width="5" style="801" bestFit="1" customWidth="1"/>
    <col min="4611" max="4611" width="14.7109375" style="801" customWidth="1"/>
    <col min="4612" max="4612" width="7.28515625" style="801" customWidth="1"/>
    <col min="4613" max="4613" width="5.42578125" style="801" bestFit="1" customWidth="1"/>
    <col min="4614" max="4614" width="2.140625" style="801" customWidth="1"/>
    <col min="4615" max="4615" width="30.28515625" style="801" customWidth="1"/>
    <col min="4616" max="4616" width="10.7109375" style="801" customWidth="1"/>
    <col min="4617" max="4626" width="10.140625" style="801" bestFit="1" customWidth="1"/>
    <col min="4627" max="4864" width="9.140625" style="801"/>
    <col min="4865" max="4865" width="5.7109375" style="801" bestFit="1" customWidth="1"/>
    <col min="4866" max="4866" width="5" style="801" bestFit="1" customWidth="1"/>
    <col min="4867" max="4867" width="14.7109375" style="801" customWidth="1"/>
    <col min="4868" max="4868" width="7.28515625" style="801" customWidth="1"/>
    <col min="4869" max="4869" width="5.42578125" style="801" bestFit="1" customWidth="1"/>
    <col min="4870" max="4870" width="2.140625" style="801" customWidth="1"/>
    <col min="4871" max="4871" width="30.28515625" style="801" customWidth="1"/>
    <col min="4872" max="4872" width="10.7109375" style="801" customWidth="1"/>
    <col min="4873" max="4882" width="10.140625" style="801" bestFit="1" customWidth="1"/>
    <col min="4883" max="5120" width="9.140625" style="801"/>
    <col min="5121" max="5121" width="5.7109375" style="801" bestFit="1" customWidth="1"/>
    <col min="5122" max="5122" width="5" style="801" bestFit="1" customWidth="1"/>
    <col min="5123" max="5123" width="14.7109375" style="801" customWidth="1"/>
    <col min="5124" max="5124" width="7.28515625" style="801" customWidth="1"/>
    <col min="5125" max="5125" width="5.42578125" style="801" bestFit="1" customWidth="1"/>
    <col min="5126" max="5126" width="2.140625" style="801" customWidth="1"/>
    <col min="5127" max="5127" width="30.28515625" style="801" customWidth="1"/>
    <col min="5128" max="5128" width="10.7109375" style="801" customWidth="1"/>
    <col min="5129" max="5138" width="10.140625" style="801" bestFit="1" customWidth="1"/>
    <col min="5139" max="5376" width="9.140625" style="801"/>
    <col min="5377" max="5377" width="5.7109375" style="801" bestFit="1" customWidth="1"/>
    <col min="5378" max="5378" width="5" style="801" bestFit="1" customWidth="1"/>
    <col min="5379" max="5379" width="14.7109375" style="801" customWidth="1"/>
    <col min="5380" max="5380" width="7.28515625" style="801" customWidth="1"/>
    <col min="5381" max="5381" width="5.42578125" style="801" bestFit="1" customWidth="1"/>
    <col min="5382" max="5382" width="2.140625" style="801" customWidth="1"/>
    <col min="5383" max="5383" width="30.28515625" style="801" customWidth="1"/>
    <col min="5384" max="5384" width="10.7109375" style="801" customWidth="1"/>
    <col min="5385" max="5394" width="10.140625" style="801" bestFit="1" customWidth="1"/>
    <col min="5395" max="5632" width="9.140625" style="801"/>
    <col min="5633" max="5633" width="5.7109375" style="801" bestFit="1" customWidth="1"/>
    <col min="5634" max="5634" width="5" style="801" bestFit="1" customWidth="1"/>
    <col min="5635" max="5635" width="14.7109375" style="801" customWidth="1"/>
    <col min="5636" max="5636" width="7.28515625" style="801" customWidth="1"/>
    <col min="5637" max="5637" width="5.42578125" style="801" bestFit="1" customWidth="1"/>
    <col min="5638" max="5638" width="2.140625" style="801" customWidth="1"/>
    <col min="5639" max="5639" width="30.28515625" style="801" customWidth="1"/>
    <col min="5640" max="5640" width="10.7109375" style="801" customWidth="1"/>
    <col min="5641" max="5650" width="10.140625" style="801" bestFit="1" customWidth="1"/>
    <col min="5651" max="5888" width="9.140625" style="801"/>
    <col min="5889" max="5889" width="5.7109375" style="801" bestFit="1" customWidth="1"/>
    <col min="5890" max="5890" width="5" style="801" bestFit="1" customWidth="1"/>
    <col min="5891" max="5891" width="14.7109375" style="801" customWidth="1"/>
    <col min="5892" max="5892" width="7.28515625" style="801" customWidth="1"/>
    <col min="5893" max="5893" width="5.42578125" style="801" bestFit="1" customWidth="1"/>
    <col min="5894" max="5894" width="2.140625" style="801" customWidth="1"/>
    <col min="5895" max="5895" width="30.28515625" style="801" customWidth="1"/>
    <col min="5896" max="5896" width="10.7109375" style="801" customWidth="1"/>
    <col min="5897" max="5906" width="10.140625" style="801" bestFit="1" customWidth="1"/>
    <col min="5907" max="6144" width="9.140625" style="801"/>
    <col min="6145" max="6145" width="5.7109375" style="801" bestFit="1" customWidth="1"/>
    <col min="6146" max="6146" width="5" style="801" bestFit="1" customWidth="1"/>
    <col min="6147" max="6147" width="14.7109375" style="801" customWidth="1"/>
    <col min="6148" max="6148" width="7.28515625" style="801" customWidth="1"/>
    <col min="6149" max="6149" width="5.42578125" style="801" bestFit="1" customWidth="1"/>
    <col min="6150" max="6150" width="2.140625" style="801" customWidth="1"/>
    <col min="6151" max="6151" width="30.28515625" style="801" customWidth="1"/>
    <col min="6152" max="6152" width="10.7109375" style="801" customWidth="1"/>
    <col min="6153" max="6162" width="10.140625" style="801" bestFit="1" customWidth="1"/>
    <col min="6163" max="6400" width="9.140625" style="801"/>
    <col min="6401" max="6401" width="5.7109375" style="801" bestFit="1" customWidth="1"/>
    <col min="6402" max="6402" width="5" style="801" bestFit="1" customWidth="1"/>
    <col min="6403" max="6403" width="14.7109375" style="801" customWidth="1"/>
    <col min="6404" max="6404" width="7.28515625" style="801" customWidth="1"/>
    <col min="6405" max="6405" width="5.42578125" style="801" bestFit="1" customWidth="1"/>
    <col min="6406" max="6406" width="2.140625" style="801" customWidth="1"/>
    <col min="6407" max="6407" width="30.28515625" style="801" customWidth="1"/>
    <col min="6408" max="6408" width="10.7109375" style="801" customWidth="1"/>
    <col min="6409" max="6418" width="10.140625" style="801" bestFit="1" customWidth="1"/>
    <col min="6419" max="6656" width="9.140625" style="801"/>
    <col min="6657" max="6657" width="5.7109375" style="801" bestFit="1" customWidth="1"/>
    <col min="6658" max="6658" width="5" style="801" bestFit="1" customWidth="1"/>
    <col min="6659" max="6659" width="14.7109375" style="801" customWidth="1"/>
    <col min="6660" max="6660" width="7.28515625" style="801" customWidth="1"/>
    <col min="6661" max="6661" width="5.42578125" style="801" bestFit="1" customWidth="1"/>
    <col min="6662" max="6662" width="2.140625" style="801" customWidth="1"/>
    <col min="6663" max="6663" width="30.28515625" style="801" customWidth="1"/>
    <col min="6664" max="6664" width="10.7109375" style="801" customWidth="1"/>
    <col min="6665" max="6674" width="10.140625" style="801" bestFit="1" customWidth="1"/>
    <col min="6675" max="6912" width="9.140625" style="801"/>
    <col min="6913" max="6913" width="5.7109375" style="801" bestFit="1" customWidth="1"/>
    <col min="6914" max="6914" width="5" style="801" bestFit="1" customWidth="1"/>
    <col min="6915" max="6915" width="14.7109375" style="801" customWidth="1"/>
    <col min="6916" max="6916" width="7.28515625" style="801" customWidth="1"/>
    <col min="6917" max="6917" width="5.42578125" style="801" bestFit="1" customWidth="1"/>
    <col min="6918" max="6918" width="2.140625" style="801" customWidth="1"/>
    <col min="6919" max="6919" width="30.28515625" style="801" customWidth="1"/>
    <col min="6920" max="6920" width="10.7109375" style="801" customWidth="1"/>
    <col min="6921" max="6930" width="10.140625" style="801" bestFit="1" customWidth="1"/>
    <col min="6931" max="7168" width="9.140625" style="801"/>
    <col min="7169" max="7169" width="5.7109375" style="801" bestFit="1" customWidth="1"/>
    <col min="7170" max="7170" width="5" style="801" bestFit="1" customWidth="1"/>
    <col min="7171" max="7171" width="14.7109375" style="801" customWidth="1"/>
    <col min="7172" max="7172" width="7.28515625" style="801" customWidth="1"/>
    <col min="7173" max="7173" width="5.42578125" style="801" bestFit="1" customWidth="1"/>
    <col min="7174" max="7174" width="2.140625" style="801" customWidth="1"/>
    <col min="7175" max="7175" width="30.28515625" style="801" customWidth="1"/>
    <col min="7176" max="7176" width="10.7109375" style="801" customWidth="1"/>
    <col min="7177" max="7186" width="10.140625" style="801" bestFit="1" customWidth="1"/>
    <col min="7187" max="7424" width="9.140625" style="801"/>
    <col min="7425" max="7425" width="5.7109375" style="801" bestFit="1" customWidth="1"/>
    <col min="7426" max="7426" width="5" style="801" bestFit="1" customWidth="1"/>
    <col min="7427" max="7427" width="14.7109375" style="801" customWidth="1"/>
    <col min="7428" max="7428" width="7.28515625" style="801" customWidth="1"/>
    <col min="7429" max="7429" width="5.42578125" style="801" bestFit="1" customWidth="1"/>
    <col min="7430" max="7430" width="2.140625" style="801" customWidth="1"/>
    <col min="7431" max="7431" width="30.28515625" style="801" customWidth="1"/>
    <col min="7432" max="7432" width="10.7109375" style="801" customWidth="1"/>
    <col min="7433" max="7442" width="10.140625" style="801" bestFit="1" customWidth="1"/>
    <col min="7443" max="7680" width="9.140625" style="801"/>
    <col min="7681" max="7681" width="5.7109375" style="801" bestFit="1" customWidth="1"/>
    <col min="7682" max="7682" width="5" style="801" bestFit="1" customWidth="1"/>
    <col min="7683" max="7683" width="14.7109375" style="801" customWidth="1"/>
    <col min="7684" max="7684" width="7.28515625" style="801" customWidth="1"/>
    <col min="7685" max="7685" width="5.42578125" style="801" bestFit="1" customWidth="1"/>
    <col min="7686" max="7686" width="2.140625" style="801" customWidth="1"/>
    <col min="7687" max="7687" width="30.28515625" style="801" customWidth="1"/>
    <col min="7688" max="7688" width="10.7109375" style="801" customWidth="1"/>
    <col min="7689" max="7698" width="10.140625" style="801" bestFit="1" customWidth="1"/>
    <col min="7699" max="7936" width="9.140625" style="801"/>
    <col min="7937" max="7937" width="5.7109375" style="801" bestFit="1" customWidth="1"/>
    <col min="7938" max="7938" width="5" style="801" bestFit="1" customWidth="1"/>
    <col min="7939" max="7939" width="14.7109375" style="801" customWidth="1"/>
    <col min="7940" max="7940" width="7.28515625" style="801" customWidth="1"/>
    <col min="7941" max="7941" width="5.42578125" style="801" bestFit="1" customWidth="1"/>
    <col min="7942" max="7942" width="2.140625" style="801" customWidth="1"/>
    <col min="7943" max="7943" width="30.28515625" style="801" customWidth="1"/>
    <col min="7944" max="7944" width="10.7109375" style="801" customWidth="1"/>
    <col min="7945" max="7954" width="10.140625" style="801" bestFit="1" customWidth="1"/>
    <col min="7955" max="8192" width="9.140625" style="801"/>
    <col min="8193" max="8193" width="5.7109375" style="801" bestFit="1" customWidth="1"/>
    <col min="8194" max="8194" width="5" style="801" bestFit="1" customWidth="1"/>
    <col min="8195" max="8195" width="14.7109375" style="801" customWidth="1"/>
    <col min="8196" max="8196" width="7.28515625" style="801" customWidth="1"/>
    <col min="8197" max="8197" width="5.42578125" style="801" bestFit="1" customWidth="1"/>
    <col min="8198" max="8198" width="2.140625" style="801" customWidth="1"/>
    <col min="8199" max="8199" width="30.28515625" style="801" customWidth="1"/>
    <col min="8200" max="8200" width="10.7109375" style="801" customWidth="1"/>
    <col min="8201" max="8210" width="10.140625" style="801" bestFit="1" customWidth="1"/>
    <col min="8211" max="8448" width="9.140625" style="801"/>
    <col min="8449" max="8449" width="5.7109375" style="801" bestFit="1" customWidth="1"/>
    <col min="8450" max="8450" width="5" style="801" bestFit="1" customWidth="1"/>
    <col min="8451" max="8451" width="14.7109375" style="801" customWidth="1"/>
    <col min="8452" max="8452" width="7.28515625" style="801" customWidth="1"/>
    <col min="8453" max="8453" width="5.42578125" style="801" bestFit="1" customWidth="1"/>
    <col min="8454" max="8454" width="2.140625" style="801" customWidth="1"/>
    <col min="8455" max="8455" width="30.28515625" style="801" customWidth="1"/>
    <col min="8456" max="8456" width="10.7109375" style="801" customWidth="1"/>
    <col min="8457" max="8466" width="10.140625" style="801" bestFit="1" customWidth="1"/>
    <col min="8467" max="8704" width="9.140625" style="801"/>
    <col min="8705" max="8705" width="5.7109375" style="801" bestFit="1" customWidth="1"/>
    <col min="8706" max="8706" width="5" style="801" bestFit="1" customWidth="1"/>
    <col min="8707" max="8707" width="14.7109375" style="801" customWidth="1"/>
    <col min="8708" max="8708" width="7.28515625" style="801" customWidth="1"/>
    <col min="8709" max="8709" width="5.42578125" style="801" bestFit="1" customWidth="1"/>
    <col min="8710" max="8710" width="2.140625" style="801" customWidth="1"/>
    <col min="8711" max="8711" width="30.28515625" style="801" customWidth="1"/>
    <col min="8712" max="8712" width="10.7109375" style="801" customWidth="1"/>
    <col min="8713" max="8722" width="10.140625" style="801" bestFit="1" customWidth="1"/>
    <col min="8723" max="8960" width="9.140625" style="801"/>
    <col min="8961" max="8961" width="5.7109375" style="801" bestFit="1" customWidth="1"/>
    <col min="8962" max="8962" width="5" style="801" bestFit="1" customWidth="1"/>
    <col min="8963" max="8963" width="14.7109375" style="801" customWidth="1"/>
    <col min="8964" max="8964" width="7.28515625" style="801" customWidth="1"/>
    <col min="8965" max="8965" width="5.42578125" style="801" bestFit="1" customWidth="1"/>
    <col min="8966" max="8966" width="2.140625" style="801" customWidth="1"/>
    <col min="8967" max="8967" width="30.28515625" style="801" customWidth="1"/>
    <col min="8968" max="8968" width="10.7109375" style="801" customWidth="1"/>
    <col min="8969" max="8978" width="10.140625" style="801" bestFit="1" customWidth="1"/>
    <col min="8979" max="9216" width="9.140625" style="801"/>
    <col min="9217" max="9217" width="5.7109375" style="801" bestFit="1" customWidth="1"/>
    <col min="9218" max="9218" width="5" style="801" bestFit="1" customWidth="1"/>
    <col min="9219" max="9219" width="14.7109375" style="801" customWidth="1"/>
    <col min="9220" max="9220" width="7.28515625" style="801" customWidth="1"/>
    <col min="9221" max="9221" width="5.42578125" style="801" bestFit="1" customWidth="1"/>
    <col min="9222" max="9222" width="2.140625" style="801" customWidth="1"/>
    <col min="9223" max="9223" width="30.28515625" style="801" customWidth="1"/>
    <col min="9224" max="9224" width="10.7109375" style="801" customWidth="1"/>
    <col min="9225" max="9234" width="10.140625" style="801" bestFit="1" customWidth="1"/>
    <col min="9235" max="9472" width="9.140625" style="801"/>
    <col min="9473" max="9473" width="5.7109375" style="801" bestFit="1" customWidth="1"/>
    <col min="9474" max="9474" width="5" style="801" bestFit="1" customWidth="1"/>
    <col min="9475" max="9475" width="14.7109375" style="801" customWidth="1"/>
    <col min="9476" max="9476" width="7.28515625" style="801" customWidth="1"/>
    <col min="9477" max="9477" width="5.42578125" style="801" bestFit="1" customWidth="1"/>
    <col min="9478" max="9478" width="2.140625" style="801" customWidth="1"/>
    <col min="9479" max="9479" width="30.28515625" style="801" customWidth="1"/>
    <col min="9480" max="9480" width="10.7109375" style="801" customWidth="1"/>
    <col min="9481" max="9490" width="10.140625" style="801" bestFit="1" customWidth="1"/>
    <col min="9491" max="9728" width="9.140625" style="801"/>
    <col min="9729" max="9729" width="5.7109375" style="801" bestFit="1" customWidth="1"/>
    <col min="9730" max="9730" width="5" style="801" bestFit="1" customWidth="1"/>
    <col min="9731" max="9731" width="14.7109375" style="801" customWidth="1"/>
    <col min="9732" max="9732" width="7.28515625" style="801" customWidth="1"/>
    <col min="9733" max="9733" width="5.42578125" style="801" bestFit="1" customWidth="1"/>
    <col min="9734" max="9734" width="2.140625" style="801" customWidth="1"/>
    <col min="9735" max="9735" width="30.28515625" style="801" customWidth="1"/>
    <col min="9736" max="9736" width="10.7109375" style="801" customWidth="1"/>
    <col min="9737" max="9746" width="10.140625" style="801" bestFit="1" customWidth="1"/>
    <col min="9747" max="9984" width="9.140625" style="801"/>
    <col min="9985" max="9985" width="5.7109375" style="801" bestFit="1" customWidth="1"/>
    <col min="9986" max="9986" width="5" style="801" bestFit="1" customWidth="1"/>
    <col min="9987" max="9987" width="14.7109375" style="801" customWidth="1"/>
    <col min="9988" max="9988" width="7.28515625" style="801" customWidth="1"/>
    <col min="9989" max="9989" width="5.42578125" style="801" bestFit="1" customWidth="1"/>
    <col min="9990" max="9990" width="2.140625" style="801" customWidth="1"/>
    <col min="9991" max="9991" width="30.28515625" style="801" customWidth="1"/>
    <col min="9992" max="9992" width="10.7109375" style="801" customWidth="1"/>
    <col min="9993" max="10002" width="10.140625" style="801" bestFit="1" customWidth="1"/>
    <col min="10003" max="10240" width="9.140625" style="801"/>
    <col min="10241" max="10241" width="5.7109375" style="801" bestFit="1" customWidth="1"/>
    <col min="10242" max="10242" width="5" style="801" bestFit="1" customWidth="1"/>
    <col min="10243" max="10243" width="14.7109375" style="801" customWidth="1"/>
    <col min="10244" max="10244" width="7.28515625" style="801" customWidth="1"/>
    <col min="10245" max="10245" width="5.42578125" style="801" bestFit="1" customWidth="1"/>
    <col min="10246" max="10246" width="2.140625" style="801" customWidth="1"/>
    <col min="10247" max="10247" width="30.28515625" style="801" customWidth="1"/>
    <col min="10248" max="10248" width="10.7109375" style="801" customWidth="1"/>
    <col min="10249" max="10258" width="10.140625" style="801" bestFit="1" customWidth="1"/>
    <col min="10259" max="10496" width="9.140625" style="801"/>
    <col min="10497" max="10497" width="5.7109375" style="801" bestFit="1" customWidth="1"/>
    <col min="10498" max="10498" width="5" style="801" bestFit="1" customWidth="1"/>
    <col min="10499" max="10499" width="14.7109375" style="801" customWidth="1"/>
    <col min="10500" max="10500" width="7.28515625" style="801" customWidth="1"/>
    <col min="10501" max="10501" width="5.42578125" style="801" bestFit="1" customWidth="1"/>
    <col min="10502" max="10502" width="2.140625" style="801" customWidth="1"/>
    <col min="10503" max="10503" width="30.28515625" style="801" customWidth="1"/>
    <col min="10504" max="10504" width="10.7109375" style="801" customWidth="1"/>
    <col min="10505" max="10514" width="10.140625" style="801" bestFit="1" customWidth="1"/>
    <col min="10515" max="10752" width="9.140625" style="801"/>
    <col min="10753" max="10753" width="5.7109375" style="801" bestFit="1" customWidth="1"/>
    <col min="10754" max="10754" width="5" style="801" bestFit="1" customWidth="1"/>
    <col min="10755" max="10755" width="14.7109375" style="801" customWidth="1"/>
    <col min="10756" max="10756" width="7.28515625" style="801" customWidth="1"/>
    <col min="10757" max="10757" width="5.42578125" style="801" bestFit="1" customWidth="1"/>
    <col min="10758" max="10758" width="2.140625" style="801" customWidth="1"/>
    <col min="10759" max="10759" width="30.28515625" style="801" customWidth="1"/>
    <col min="10760" max="10760" width="10.7109375" style="801" customWidth="1"/>
    <col min="10761" max="10770" width="10.140625" style="801" bestFit="1" customWidth="1"/>
    <col min="10771" max="11008" width="9.140625" style="801"/>
    <col min="11009" max="11009" width="5.7109375" style="801" bestFit="1" customWidth="1"/>
    <col min="11010" max="11010" width="5" style="801" bestFit="1" customWidth="1"/>
    <col min="11011" max="11011" width="14.7109375" style="801" customWidth="1"/>
    <col min="11012" max="11012" width="7.28515625" style="801" customWidth="1"/>
    <col min="11013" max="11013" width="5.42578125" style="801" bestFit="1" customWidth="1"/>
    <col min="11014" max="11014" width="2.140625" style="801" customWidth="1"/>
    <col min="11015" max="11015" width="30.28515625" style="801" customWidth="1"/>
    <col min="11016" max="11016" width="10.7109375" style="801" customWidth="1"/>
    <col min="11017" max="11026" width="10.140625" style="801" bestFit="1" customWidth="1"/>
    <col min="11027" max="11264" width="9.140625" style="801"/>
    <col min="11265" max="11265" width="5.7109375" style="801" bestFit="1" customWidth="1"/>
    <col min="11266" max="11266" width="5" style="801" bestFit="1" customWidth="1"/>
    <col min="11267" max="11267" width="14.7109375" style="801" customWidth="1"/>
    <col min="11268" max="11268" width="7.28515625" style="801" customWidth="1"/>
    <col min="11269" max="11269" width="5.42578125" style="801" bestFit="1" customWidth="1"/>
    <col min="11270" max="11270" width="2.140625" style="801" customWidth="1"/>
    <col min="11271" max="11271" width="30.28515625" style="801" customWidth="1"/>
    <col min="11272" max="11272" width="10.7109375" style="801" customWidth="1"/>
    <col min="11273" max="11282" width="10.140625" style="801" bestFit="1" customWidth="1"/>
    <col min="11283" max="11520" width="9.140625" style="801"/>
    <col min="11521" max="11521" width="5.7109375" style="801" bestFit="1" customWidth="1"/>
    <col min="11522" max="11522" width="5" style="801" bestFit="1" customWidth="1"/>
    <col min="11523" max="11523" width="14.7109375" style="801" customWidth="1"/>
    <col min="11524" max="11524" width="7.28515625" style="801" customWidth="1"/>
    <col min="11525" max="11525" width="5.42578125" style="801" bestFit="1" customWidth="1"/>
    <col min="11526" max="11526" width="2.140625" style="801" customWidth="1"/>
    <col min="11527" max="11527" width="30.28515625" style="801" customWidth="1"/>
    <col min="11528" max="11528" width="10.7109375" style="801" customWidth="1"/>
    <col min="11529" max="11538" width="10.140625" style="801" bestFit="1" customWidth="1"/>
    <col min="11539" max="11776" width="9.140625" style="801"/>
    <col min="11777" max="11777" width="5.7109375" style="801" bestFit="1" customWidth="1"/>
    <col min="11778" max="11778" width="5" style="801" bestFit="1" customWidth="1"/>
    <col min="11779" max="11779" width="14.7109375" style="801" customWidth="1"/>
    <col min="11780" max="11780" width="7.28515625" style="801" customWidth="1"/>
    <col min="11781" max="11781" width="5.42578125" style="801" bestFit="1" customWidth="1"/>
    <col min="11782" max="11782" width="2.140625" style="801" customWidth="1"/>
    <col min="11783" max="11783" width="30.28515625" style="801" customWidth="1"/>
    <col min="11784" max="11784" width="10.7109375" style="801" customWidth="1"/>
    <col min="11785" max="11794" width="10.140625" style="801" bestFit="1" customWidth="1"/>
    <col min="11795" max="12032" width="9.140625" style="801"/>
    <col min="12033" max="12033" width="5.7109375" style="801" bestFit="1" customWidth="1"/>
    <col min="12034" max="12034" width="5" style="801" bestFit="1" customWidth="1"/>
    <col min="12035" max="12035" width="14.7109375" style="801" customWidth="1"/>
    <col min="12036" max="12036" width="7.28515625" style="801" customWidth="1"/>
    <col min="12037" max="12037" width="5.42578125" style="801" bestFit="1" customWidth="1"/>
    <col min="12038" max="12038" width="2.140625" style="801" customWidth="1"/>
    <col min="12039" max="12039" width="30.28515625" style="801" customWidth="1"/>
    <col min="12040" max="12040" width="10.7109375" style="801" customWidth="1"/>
    <col min="12041" max="12050" width="10.140625" style="801" bestFit="1" customWidth="1"/>
    <col min="12051" max="12288" width="9.140625" style="801"/>
    <col min="12289" max="12289" width="5.7109375" style="801" bestFit="1" customWidth="1"/>
    <col min="12290" max="12290" width="5" style="801" bestFit="1" customWidth="1"/>
    <col min="12291" max="12291" width="14.7109375" style="801" customWidth="1"/>
    <col min="12292" max="12292" width="7.28515625" style="801" customWidth="1"/>
    <col min="12293" max="12293" width="5.42578125" style="801" bestFit="1" customWidth="1"/>
    <col min="12294" max="12294" width="2.140625" style="801" customWidth="1"/>
    <col min="12295" max="12295" width="30.28515625" style="801" customWidth="1"/>
    <col min="12296" max="12296" width="10.7109375" style="801" customWidth="1"/>
    <col min="12297" max="12306" width="10.140625" style="801" bestFit="1" customWidth="1"/>
    <col min="12307" max="12544" width="9.140625" style="801"/>
    <col min="12545" max="12545" width="5.7109375" style="801" bestFit="1" customWidth="1"/>
    <col min="12546" max="12546" width="5" style="801" bestFit="1" customWidth="1"/>
    <col min="12547" max="12547" width="14.7109375" style="801" customWidth="1"/>
    <col min="12548" max="12548" width="7.28515625" style="801" customWidth="1"/>
    <col min="12549" max="12549" width="5.42578125" style="801" bestFit="1" customWidth="1"/>
    <col min="12550" max="12550" width="2.140625" style="801" customWidth="1"/>
    <col min="12551" max="12551" width="30.28515625" style="801" customWidth="1"/>
    <col min="12552" max="12552" width="10.7109375" style="801" customWidth="1"/>
    <col min="12553" max="12562" width="10.140625" style="801" bestFit="1" customWidth="1"/>
    <col min="12563" max="12800" width="9.140625" style="801"/>
    <col min="12801" max="12801" width="5.7109375" style="801" bestFit="1" customWidth="1"/>
    <col min="12802" max="12802" width="5" style="801" bestFit="1" customWidth="1"/>
    <col min="12803" max="12803" width="14.7109375" style="801" customWidth="1"/>
    <col min="12804" max="12804" width="7.28515625" style="801" customWidth="1"/>
    <col min="12805" max="12805" width="5.42578125" style="801" bestFit="1" customWidth="1"/>
    <col min="12806" max="12806" width="2.140625" style="801" customWidth="1"/>
    <col min="12807" max="12807" width="30.28515625" style="801" customWidth="1"/>
    <col min="12808" max="12808" width="10.7109375" style="801" customWidth="1"/>
    <col min="12809" max="12818" width="10.140625" style="801" bestFit="1" customWidth="1"/>
    <col min="12819" max="13056" width="9.140625" style="801"/>
    <col min="13057" max="13057" width="5.7109375" style="801" bestFit="1" customWidth="1"/>
    <col min="13058" max="13058" width="5" style="801" bestFit="1" customWidth="1"/>
    <col min="13059" max="13059" width="14.7109375" style="801" customWidth="1"/>
    <col min="13060" max="13060" width="7.28515625" style="801" customWidth="1"/>
    <col min="13061" max="13061" width="5.42578125" style="801" bestFit="1" customWidth="1"/>
    <col min="13062" max="13062" width="2.140625" style="801" customWidth="1"/>
    <col min="13063" max="13063" width="30.28515625" style="801" customWidth="1"/>
    <col min="13064" max="13064" width="10.7109375" style="801" customWidth="1"/>
    <col min="13065" max="13074" width="10.140625" style="801" bestFit="1" customWidth="1"/>
    <col min="13075" max="13312" width="9.140625" style="801"/>
    <col min="13313" max="13313" width="5.7109375" style="801" bestFit="1" customWidth="1"/>
    <col min="13314" max="13314" width="5" style="801" bestFit="1" customWidth="1"/>
    <col min="13315" max="13315" width="14.7109375" style="801" customWidth="1"/>
    <col min="13316" max="13316" width="7.28515625" style="801" customWidth="1"/>
    <col min="13317" max="13317" width="5.42578125" style="801" bestFit="1" customWidth="1"/>
    <col min="13318" max="13318" width="2.140625" style="801" customWidth="1"/>
    <col min="13319" max="13319" width="30.28515625" style="801" customWidth="1"/>
    <col min="13320" max="13320" width="10.7109375" style="801" customWidth="1"/>
    <col min="13321" max="13330" width="10.140625" style="801" bestFit="1" customWidth="1"/>
    <col min="13331" max="13568" width="9.140625" style="801"/>
    <col min="13569" max="13569" width="5.7109375" style="801" bestFit="1" customWidth="1"/>
    <col min="13570" max="13570" width="5" style="801" bestFit="1" customWidth="1"/>
    <col min="13571" max="13571" width="14.7109375" style="801" customWidth="1"/>
    <col min="13572" max="13572" width="7.28515625" style="801" customWidth="1"/>
    <col min="13573" max="13573" width="5.42578125" style="801" bestFit="1" customWidth="1"/>
    <col min="13574" max="13574" width="2.140625" style="801" customWidth="1"/>
    <col min="13575" max="13575" width="30.28515625" style="801" customWidth="1"/>
    <col min="13576" max="13576" width="10.7109375" style="801" customWidth="1"/>
    <col min="13577" max="13586" width="10.140625" style="801" bestFit="1" customWidth="1"/>
    <col min="13587" max="13824" width="9.140625" style="801"/>
    <col min="13825" max="13825" width="5.7109375" style="801" bestFit="1" customWidth="1"/>
    <col min="13826" max="13826" width="5" style="801" bestFit="1" customWidth="1"/>
    <col min="13827" max="13827" width="14.7109375" style="801" customWidth="1"/>
    <col min="13828" max="13828" width="7.28515625" style="801" customWidth="1"/>
    <col min="13829" max="13829" width="5.42578125" style="801" bestFit="1" customWidth="1"/>
    <col min="13830" max="13830" width="2.140625" style="801" customWidth="1"/>
    <col min="13831" max="13831" width="30.28515625" style="801" customWidth="1"/>
    <col min="13832" max="13832" width="10.7109375" style="801" customWidth="1"/>
    <col min="13833" max="13842" width="10.140625" style="801" bestFit="1" customWidth="1"/>
    <col min="13843" max="14080" width="9.140625" style="801"/>
    <col min="14081" max="14081" width="5.7109375" style="801" bestFit="1" customWidth="1"/>
    <col min="14082" max="14082" width="5" style="801" bestFit="1" customWidth="1"/>
    <col min="14083" max="14083" width="14.7109375" style="801" customWidth="1"/>
    <col min="14084" max="14084" width="7.28515625" style="801" customWidth="1"/>
    <col min="14085" max="14085" width="5.42578125" style="801" bestFit="1" customWidth="1"/>
    <col min="14086" max="14086" width="2.140625" style="801" customWidth="1"/>
    <col min="14087" max="14087" width="30.28515625" style="801" customWidth="1"/>
    <col min="14088" max="14088" width="10.7109375" style="801" customWidth="1"/>
    <col min="14089" max="14098" width="10.140625" style="801" bestFit="1" customWidth="1"/>
    <col min="14099" max="14336" width="9.140625" style="801"/>
    <col min="14337" max="14337" width="5.7109375" style="801" bestFit="1" customWidth="1"/>
    <col min="14338" max="14338" width="5" style="801" bestFit="1" customWidth="1"/>
    <col min="14339" max="14339" width="14.7109375" style="801" customWidth="1"/>
    <col min="14340" max="14340" width="7.28515625" style="801" customWidth="1"/>
    <col min="14341" max="14341" width="5.42578125" style="801" bestFit="1" customWidth="1"/>
    <col min="14342" max="14342" width="2.140625" style="801" customWidth="1"/>
    <col min="14343" max="14343" width="30.28515625" style="801" customWidth="1"/>
    <col min="14344" max="14344" width="10.7109375" style="801" customWidth="1"/>
    <col min="14345" max="14354" width="10.140625" style="801" bestFit="1" customWidth="1"/>
    <col min="14355" max="14592" width="9.140625" style="801"/>
    <col min="14593" max="14593" width="5.7109375" style="801" bestFit="1" customWidth="1"/>
    <col min="14594" max="14594" width="5" style="801" bestFit="1" customWidth="1"/>
    <col min="14595" max="14595" width="14.7109375" style="801" customWidth="1"/>
    <col min="14596" max="14596" width="7.28515625" style="801" customWidth="1"/>
    <col min="14597" max="14597" width="5.42578125" style="801" bestFit="1" customWidth="1"/>
    <col min="14598" max="14598" width="2.140625" style="801" customWidth="1"/>
    <col min="14599" max="14599" width="30.28515625" style="801" customWidth="1"/>
    <col min="14600" max="14600" width="10.7109375" style="801" customWidth="1"/>
    <col min="14601" max="14610" width="10.140625" style="801" bestFit="1" customWidth="1"/>
    <col min="14611" max="14848" width="9.140625" style="801"/>
    <col min="14849" max="14849" width="5.7109375" style="801" bestFit="1" customWidth="1"/>
    <col min="14850" max="14850" width="5" style="801" bestFit="1" customWidth="1"/>
    <col min="14851" max="14851" width="14.7109375" style="801" customWidth="1"/>
    <col min="14852" max="14852" width="7.28515625" style="801" customWidth="1"/>
    <col min="14853" max="14853" width="5.42578125" style="801" bestFit="1" customWidth="1"/>
    <col min="14854" max="14854" width="2.140625" style="801" customWidth="1"/>
    <col min="14855" max="14855" width="30.28515625" style="801" customWidth="1"/>
    <col min="14856" max="14856" width="10.7109375" style="801" customWidth="1"/>
    <col min="14857" max="14866" width="10.140625" style="801" bestFit="1" customWidth="1"/>
    <col min="14867" max="15104" width="9.140625" style="801"/>
    <col min="15105" max="15105" width="5.7109375" style="801" bestFit="1" customWidth="1"/>
    <col min="15106" max="15106" width="5" style="801" bestFit="1" customWidth="1"/>
    <col min="15107" max="15107" width="14.7109375" style="801" customWidth="1"/>
    <col min="15108" max="15108" width="7.28515625" style="801" customWidth="1"/>
    <col min="15109" max="15109" width="5.42578125" style="801" bestFit="1" customWidth="1"/>
    <col min="15110" max="15110" width="2.140625" style="801" customWidth="1"/>
    <col min="15111" max="15111" width="30.28515625" style="801" customWidth="1"/>
    <col min="15112" max="15112" width="10.7109375" style="801" customWidth="1"/>
    <col min="15113" max="15122" width="10.140625" style="801" bestFit="1" customWidth="1"/>
    <col min="15123" max="15360" width="9.140625" style="801"/>
    <col min="15361" max="15361" width="5.7109375" style="801" bestFit="1" customWidth="1"/>
    <col min="15362" max="15362" width="5" style="801" bestFit="1" customWidth="1"/>
    <col min="15363" max="15363" width="14.7109375" style="801" customWidth="1"/>
    <col min="15364" max="15364" width="7.28515625" style="801" customWidth="1"/>
    <col min="15365" max="15365" width="5.42578125" style="801" bestFit="1" customWidth="1"/>
    <col min="15366" max="15366" width="2.140625" style="801" customWidth="1"/>
    <col min="15367" max="15367" width="30.28515625" style="801" customWidth="1"/>
    <col min="15368" max="15368" width="10.7109375" style="801" customWidth="1"/>
    <col min="15369" max="15378" width="10.140625" style="801" bestFit="1" customWidth="1"/>
    <col min="15379" max="15616" width="9.140625" style="801"/>
    <col min="15617" max="15617" width="5.7109375" style="801" bestFit="1" customWidth="1"/>
    <col min="15618" max="15618" width="5" style="801" bestFit="1" customWidth="1"/>
    <col min="15619" max="15619" width="14.7109375" style="801" customWidth="1"/>
    <col min="15620" max="15620" width="7.28515625" style="801" customWidth="1"/>
    <col min="15621" max="15621" width="5.42578125" style="801" bestFit="1" customWidth="1"/>
    <col min="15622" max="15622" width="2.140625" style="801" customWidth="1"/>
    <col min="15623" max="15623" width="30.28515625" style="801" customWidth="1"/>
    <col min="15624" max="15624" width="10.7109375" style="801" customWidth="1"/>
    <col min="15625" max="15634" width="10.140625" style="801" bestFit="1" customWidth="1"/>
    <col min="15635" max="15872" width="9.140625" style="801"/>
    <col min="15873" max="15873" width="5.7109375" style="801" bestFit="1" customWidth="1"/>
    <col min="15874" max="15874" width="5" style="801" bestFit="1" customWidth="1"/>
    <col min="15875" max="15875" width="14.7109375" style="801" customWidth="1"/>
    <col min="15876" max="15876" width="7.28515625" style="801" customWidth="1"/>
    <col min="15877" max="15877" width="5.42578125" style="801" bestFit="1" customWidth="1"/>
    <col min="15878" max="15878" width="2.140625" style="801" customWidth="1"/>
    <col min="15879" max="15879" width="30.28515625" style="801" customWidth="1"/>
    <col min="15880" max="15880" width="10.7109375" style="801" customWidth="1"/>
    <col min="15881" max="15890" width="10.140625" style="801" bestFit="1" customWidth="1"/>
    <col min="15891" max="16128" width="9.140625" style="801"/>
    <col min="16129" max="16129" width="5.7109375" style="801" bestFit="1" customWidth="1"/>
    <col min="16130" max="16130" width="5" style="801" bestFit="1" customWidth="1"/>
    <col min="16131" max="16131" width="14.7109375" style="801" customWidth="1"/>
    <col min="16132" max="16132" width="7.28515625" style="801" customWidth="1"/>
    <col min="16133" max="16133" width="5.42578125" style="801" bestFit="1" customWidth="1"/>
    <col min="16134" max="16134" width="2.140625" style="801" customWidth="1"/>
    <col min="16135" max="16135" width="30.28515625" style="801" customWidth="1"/>
    <col min="16136" max="16136" width="10.7109375" style="801" customWidth="1"/>
    <col min="16137" max="16146" width="10.140625" style="801" bestFit="1" customWidth="1"/>
    <col min="16147" max="16384" width="9.140625" style="801"/>
  </cols>
  <sheetData>
    <row r="1" spans="1:18" x14ac:dyDescent="0.2">
      <c r="A1" s="798"/>
      <c r="C1" s="800"/>
      <c r="D1" s="800"/>
      <c r="E1" s="798"/>
      <c r="F1" s="798"/>
      <c r="G1" s="801"/>
    </row>
    <row r="2" spans="1:18" x14ac:dyDescent="0.2">
      <c r="A2" s="800" t="s">
        <v>0</v>
      </c>
      <c r="B2" s="802" t="s">
        <v>1</v>
      </c>
      <c r="C2" s="800" t="s">
        <v>2</v>
      </c>
      <c r="D2" s="800"/>
      <c r="E2" s="798" t="s">
        <v>3</v>
      </c>
      <c r="F2" s="798"/>
      <c r="G2" s="940" t="s">
        <v>481</v>
      </c>
      <c r="H2" s="941" t="s">
        <v>482</v>
      </c>
      <c r="I2" s="942"/>
      <c r="J2" s="942"/>
      <c r="K2" s="1218" t="s">
        <v>6</v>
      </c>
      <c r="L2" s="1219"/>
      <c r="M2" s="1220" t="s">
        <v>483</v>
      </c>
      <c r="N2" s="1221"/>
      <c r="O2" s="1221"/>
      <c r="P2" s="1221"/>
      <c r="Q2" s="1221"/>
      <c r="R2" s="1222"/>
    </row>
    <row r="3" spans="1:18" x14ac:dyDescent="0.2">
      <c r="A3" s="798"/>
      <c r="B3" s="803"/>
      <c r="C3" s="800"/>
      <c r="D3" s="800"/>
      <c r="E3" s="798"/>
      <c r="F3" s="798"/>
      <c r="G3" s="943" t="s">
        <v>7</v>
      </c>
      <c r="H3" s="208">
        <v>40908</v>
      </c>
      <c r="I3" s="208">
        <v>41274</v>
      </c>
      <c r="J3" s="208">
        <v>41639</v>
      </c>
      <c r="K3" s="208">
        <v>42004</v>
      </c>
      <c r="L3" s="944">
        <v>42369</v>
      </c>
      <c r="M3" s="944">
        <v>42735</v>
      </c>
      <c r="N3" s="944">
        <v>43100</v>
      </c>
      <c r="O3" s="944">
        <v>43465</v>
      </c>
      <c r="P3" s="944">
        <v>43830</v>
      </c>
      <c r="Q3" s="944">
        <v>44196</v>
      </c>
      <c r="R3" s="944">
        <v>44561</v>
      </c>
    </row>
    <row r="4" spans="1:18" x14ac:dyDescent="0.2">
      <c r="A4" s="805"/>
      <c r="B4" s="799" t="s">
        <v>8</v>
      </c>
      <c r="C4" s="800">
        <v>1</v>
      </c>
      <c r="D4" s="800"/>
      <c r="E4" s="802"/>
      <c r="F4" s="805"/>
      <c r="G4" s="945" t="s">
        <v>9</v>
      </c>
      <c r="H4" s="946">
        <f t="shared" ref="H4:R4" si="0">H5+H10</f>
        <v>276.66699999999997</v>
      </c>
      <c r="I4" s="946">
        <f t="shared" si="0"/>
        <v>308.55</v>
      </c>
      <c r="J4" s="946">
        <f t="shared" si="0"/>
        <v>332.52</v>
      </c>
      <c r="K4" s="946">
        <f t="shared" si="0"/>
        <v>522.80999999999995</v>
      </c>
      <c r="L4" s="946">
        <f t="shared" si="0"/>
        <v>717.98800000000006</v>
      </c>
      <c r="M4" s="946">
        <f t="shared" si="0"/>
        <v>803.90100000000007</v>
      </c>
      <c r="N4" s="946">
        <f t="shared" si="0"/>
        <v>713</v>
      </c>
      <c r="O4" s="946">
        <f t="shared" si="0"/>
        <v>701</v>
      </c>
      <c r="P4" s="946">
        <f t="shared" si="0"/>
        <v>765.99199999999996</v>
      </c>
      <c r="Q4" s="946">
        <f t="shared" si="0"/>
        <v>753</v>
      </c>
      <c r="R4" s="946">
        <f t="shared" si="0"/>
        <v>780</v>
      </c>
    </row>
    <row r="5" spans="1:18" x14ac:dyDescent="0.2">
      <c r="B5" s="799" t="s">
        <v>10</v>
      </c>
      <c r="C5" s="800">
        <v>10</v>
      </c>
      <c r="D5" s="800"/>
      <c r="G5" s="18" t="s">
        <v>11</v>
      </c>
      <c r="H5" s="946">
        <f t="shared" ref="H5:Q5" si="1">SUM(H6:H9)</f>
        <v>27.358000000000001</v>
      </c>
      <c r="I5" s="946">
        <f t="shared" si="1"/>
        <v>11.290000000000001</v>
      </c>
      <c r="J5" s="946">
        <f t="shared" si="1"/>
        <v>54.89</v>
      </c>
      <c r="K5" s="946">
        <f t="shared" si="1"/>
        <v>261.89499999999998</v>
      </c>
      <c r="L5" s="946">
        <f t="shared" si="1"/>
        <v>409.803</v>
      </c>
      <c r="M5" s="946">
        <f t="shared" si="1"/>
        <v>504.608</v>
      </c>
      <c r="N5" s="946">
        <f t="shared" si="1"/>
        <v>375</v>
      </c>
      <c r="O5" s="946">
        <f t="shared" si="1"/>
        <v>325</v>
      </c>
      <c r="P5" s="946">
        <f t="shared" si="1"/>
        <v>335</v>
      </c>
      <c r="Q5" s="946">
        <f t="shared" si="1"/>
        <v>275</v>
      </c>
      <c r="R5" s="946">
        <f>SUM(R6:R9)</f>
        <v>255</v>
      </c>
    </row>
    <row r="6" spans="1:18" x14ac:dyDescent="0.2">
      <c r="B6" s="799" t="s">
        <v>12</v>
      </c>
      <c r="C6" s="811" t="s">
        <v>13</v>
      </c>
      <c r="E6" s="812" t="s">
        <v>14</v>
      </c>
      <c r="G6" s="18" t="s">
        <v>15</v>
      </c>
      <c r="H6" s="947">
        <v>0</v>
      </c>
      <c r="I6" s="947">
        <v>4.3999999999999997E-2</v>
      </c>
      <c r="J6" s="947">
        <v>1.94</v>
      </c>
      <c r="K6" s="947">
        <v>239.845</v>
      </c>
      <c r="L6" s="947">
        <v>346.72699999999998</v>
      </c>
      <c r="M6" s="947">
        <v>433.24900000000002</v>
      </c>
      <c r="N6" s="947">
        <v>320</v>
      </c>
      <c r="O6" s="947">
        <v>280</v>
      </c>
      <c r="P6" s="947">
        <v>280</v>
      </c>
      <c r="Q6" s="947">
        <v>220</v>
      </c>
      <c r="R6" s="947">
        <v>220</v>
      </c>
    </row>
    <row r="7" spans="1:18" x14ac:dyDescent="0.2">
      <c r="B7" s="799" t="s">
        <v>16</v>
      </c>
      <c r="C7" s="811" t="s">
        <v>17</v>
      </c>
      <c r="E7" s="812" t="s">
        <v>14</v>
      </c>
      <c r="G7" s="18" t="s">
        <v>18</v>
      </c>
      <c r="H7" s="947">
        <v>27.358000000000001</v>
      </c>
      <c r="I7" s="947">
        <v>10.625</v>
      </c>
      <c r="J7" s="947">
        <v>52.95</v>
      </c>
      <c r="K7" s="947">
        <v>22.05</v>
      </c>
      <c r="L7" s="947">
        <v>63.076000000000001</v>
      </c>
      <c r="M7" s="947">
        <v>71.358999999999995</v>
      </c>
      <c r="N7" s="947">
        <v>55</v>
      </c>
      <c r="O7" s="947">
        <v>45</v>
      </c>
      <c r="P7" s="947">
        <v>55</v>
      </c>
      <c r="Q7" s="947">
        <v>55</v>
      </c>
      <c r="R7" s="947">
        <v>35</v>
      </c>
    </row>
    <row r="8" spans="1:18" x14ac:dyDescent="0.2">
      <c r="B8" s="799" t="s">
        <v>19</v>
      </c>
      <c r="C8" s="811" t="s">
        <v>20</v>
      </c>
      <c r="E8" s="812" t="s">
        <v>14</v>
      </c>
      <c r="G8" s="18" t="s">
        <v>21</v>
      </c>
      <c r="H8" s="947">
        <v>0</v>
      </c>
      <c r="I8" s="947">
        <v>0</v>
      </c>
      <c r="J8" s="947">
        <v>0</v>
      </c>
      <c r="K8" s="947">
        <v>0</v>
      </c>
      <c r="L8" s="947">
        <v>0</v>
      </c>
      <c r="M8" s="947">
        <v>0</v>
      </c>
      <c r="N8" s="947">
        <v>0</v>
      </c>
      <c r="O8" s="947">
        <v>0</v>
      </c>
      <c r="P8" s="947">
        <v>0</v>
      </c>
      <c r="Q8" s="947">
        <v>0</v>
      </c>
      <c r="R8" s="947">
        <v>0</v>
      </c>
    </row>
    <row r="9" spans="1:18" x14ac:dyDescent="0.2">
      <c r="B9" s="799" t="s">
        <v>22</v>
      </c>
      <c r="C9" s="811">
        <v>108</v>
      </c>
      <c r="E9" s="814"/>
      <c r="G9" s="18" t="s">
        <v>23</v>
      </c>
      <c r="H9" s="947">
        <v>0</v>
      </c>
      <c r="I9" s="947">
        <v>0.621</v>
      </c>
      <c r="J9" s="947">
        <v>0</v>
      </c>
      <c r="K9" s="947">
        <v>0</v>
      </c>
      <c r="L9" s="947">
        <v>0</v>
      </c>
      <c r="M9" s="947">
        <v>0</v>
      </c>
      <c r="N9" s="947">
        <v>0</v>
      </c>
      <c r="O9" s="947">
        <v>0</v>
      </c>
      <c r="P9" s="947">
        <v>0</v>
      </c>
      <c r="Q9" s="947">
        <v>0</v>
      </c>
      <c r="R9" s="947">
        <v>0</v>
      </c>
    </row>
    <row r="10" spans="1:18" x14ac:dyDescent="0.2">
      <c r="A10" s="815"/>
      <c r="B10" s="799" t="s">
        <v>24</v>
      </c>
      <c r="C10" s="816">
        <v>15</v>
      </c>
      <c r="D10" s="816"/>
      <c r="E10" s="814"/>
      <c r="F10" s="815"/>
      <c r="G10" s="18" t="s">
        <v>25</v>
      </c>
      <c r="H10" s="946">
        <f>SUM(H11:H16)</f>
        <v>249.309</v>
      </c>
      <c r="I10" s="946">
        <f t="shared" ref="I10:R10" si="2">SUM(I11:I16)</f>
        <v>297.26</v>
      </c>
      <c r="J10" s="946">
        <f t="shared" si="2"/>
        <v>277.63</v>
      </c>
      <c r="K10" s="946">
        <f t="shared" si="2"/>
        <v>260.91500000000002</v>
      </c>
      <c r="L10" s="946">
        <f t="shared" si="2"/>
        <v>308.185</v>
      </c>
      <c r="M10" s="946">
        <f t="shared" si="2"/>
        <v>299.29300000000001</v>
      </c>
      <c r="N10" s="946">
        <f t="shared" si="2"/>
        <v>338</v>
      </c>
      <c r="O10" s="946">
        <f t="shared" si="2"/>
        <v>376</v>
      </c>
      <c r="P10" s="946">
        <f t="shared" si="2"/>
        <v>430.99200000000002</v>
      </c>
      <c r="Q10" s="946">
        <f t="shared" si="2"/>
        <v>478</v>
      </c>
      <c r="R10" s="946">
        <f t="shared" si="2"/>
        <v>525</v>
      </c>
    </row>
    <row r="11" spans="1:18" x14ac:dyDescent="0.2">
      <c r="A11" s="815"/>
      <c r="B11" s="799" t="s">
        <v>26</v>
      </c>
      <c r="C11" s="816">
        <v>150</v>
      </c>
      <c r="D11" s="816"/>
      <c r="E11" s="812" t="s">
        <v>14</v>
      </c>
      <c r="F11" s="815"/>
      <c r="G11" s="18" t="s">
        <v>27</v>
      </c>
      <c r="H11" s="947">
        <v>0</v>
      </c>
      <c r="I11" s="947">
        <v>0</v>
      </c>
      <c r="J11" s="947">
        <v>0</v>
      </c>
      <c r="K11" s="947">
        <v>0</v>
      </c>
      <c r="L11" s="947">
        <v>0</v>
      </c>
      <c r="M11" s="947">
        <v>0</v>
      </c>
      <c r="N11" s="947">
        <v>0</v>
      </c>
      <c r="O11" s="947">
        <v>0</v>
      </c>
      <c r="P11" s="947">
        <v>0</v>
      </c>
      <c r="Q11" s="947">
        <v>0</v>
      </c>
      <c r="R11" s="947">
        <v>0</v>
      </c>
    </row>
    <row r="12" spans="1:18" x14ac:dyDescent="0.2">
      <c r="A12" s="815"/>
      <c r="B12" s="799" t="s">
        <v>28</v>
      </c>
      <c r="C12" s="816">
        <v>151</v>
      </c>
      <c r="D12" s="816"/>
      <c r="E12" s="812" t="s">
        <v>14</v>
      </c>
      <c r="F12" s="815"/>
      <c r="G12" s="18" t="s">
        <v>29</v>
      </c>
      <c r="H12" s="947">
        <v>0</v>
      </c>
      <c r="I12" s="947">
        <v>0</v>
      </c>
      <c r="J12" s="947">
        <v>0</v>
      </c>
      <c r="K12" s="947">
        <v>0</v>
      </c>
      <c r="L12" s="947">
        <v>0</v>
      </c>
      <c r="M12" s="947">
        <v>0</v>
      </c>
      <c r="N12" s="947">
        <v>0</v>
      </c>
      <c r="O12" s="947">
        <v>0</v>
      </c>
      <c r="P12" s="947">
        <v>0</v>
      </c>
      <c r="Q12" s="947">
        <v>0</v>
      </c>
      <c r="R12" s="947">
        <v>0</v>
      </c>
    </row>
    <row r="13" spans="1:18" x14ac:dyDescent="0.2">
      <c r="B13" s="799" t="s">
        <v>30</v>
      </c>
      <c r="C13" s="811" t="s">
        <v>31</v>
      </c>
      <c r="E13" s="812" t="s">
        <v>14</v>
      </c>
      <c r="G13" s="18" t="s">
        <v>32</v>
      </c>
      <c r="H13" s="947">
        <v>0</v>
      </c>
      <c r="I13" s="947">
        <v>0</v>
      </c>
      <c r="J13" s="947">
        <v>0</v>
      </c>
      <c r="K13" s="947">
        <v>0</v>
      </c>
      <c r="L13" s="947">
        <v>0</v>
      </c>
      <c r="M13" s="947">
        <v>0</v>
      </c>
      <c r="N13" s="947">
        <v>0</v>
      </c>
      <c r="O13" s="947">
        <v>0</v>
      </c>
      <c r="P13" s="947">
        <v>0</v>
      </c>
      <c r="Q13" s="947">
        <v>0</v>
      </c>
      <c r="R13" s="947">
        <v>0</v>
      </c>
    </row>
    <row r="14" spans="1:18" x14ac:dyDescent="0.2">
      <c r="B14" s="799" t="s">
        <v>33</v>
      </c>
      <c r="C14" s="811">
        <v>154</v>
      </c>
      <c r="E14" s="812" t="s">
        <v>14</v>
      </c>
      <c r="G14" s="18" t="s">
        <v>34</v>
      </c>
      <c r="H14" s="947">
        <v>0</v>
      </c>
      <c r="I14" s="947">
        <v>0</v>
      </c>
      <c r="J14" s="947">
        <v>0</v>
      </c>
      <c r="K14" s="947">
        <v>0</v>
      </c>
      <c r="L14" s="947">
        <v>0</v>
      </c>
      <c r="M14" s="947">
        <v>0</v>
      </c>
      <c r="N14" s="947">
        <v>0</v>
      </c>
      <c r="O14" s="947">
        <v>0</v>
      </c>
      <c r="P14" s="947">
        <v>0</v>
      </c>
      <c r="Q14" s="947">
        <v>0</v>
      </c>
      <c r="R14" s="947">
        <v>0</v>
      </c>
    </row>
    <row r="15" spans="1:18" x14ac:dyDescent="0.2">
      <c r="B15" s="799" t="s">
        <v>35</v>
      </c>
      <c r="C15" s="811" t="s">
        <v>36</v>
      </c>
      <c r="E15" s="812" t="s">
        <v>14</v>
      </c>
      <c r="G15" s="18" t="s">
        <v>37</v>
      </c>
      <c r="H15" s="947">
        <v>249.309</v>
      </c>
      <c r="I15" s="947">
        <v>297.26</v>
      </c>
      <c r="J15" s="947">
        <v>277.63</v>
      </c>
      <c r="K15" s="947">
        <v>260.91500000000002</v>
      </c>
      <c r="L15" s="947">
        <v>308.185</v>
      </c>
      <c r="M15" s="947">
        <v>299.29300000000001</v>
      </c>
      <c r="N15" s="947">
        <f>283+55</f>
        <v>338</v>
      </c>
      <c r="O15" s="947">
        <v>376</v>
      </c>
      <c r="P15" s="947">
        <v>430.99200000000002</v>
      </c>
      <c r="Q15" s="947">
        <v>478</v>
      </c>
      <c r="R15" s="947">
        <v>525</v>
      </c>
    </row>
    <row r="16" spans="1:18" x14ac:dyDescent="0.2">
      <c r="B16" s="799" t="s">
        <v>38</v>
      </c>
      <c r="C16" s="811">
        <v>157</v>
      </c>
      <c r="E16" s="812" t="s">
        <v>14</v>
      </c>
      <c r="G16" s="18" t="s">
        <v>39</v>
      </c>
      <c r="H16" s="947">
        <v>0</v>
      </c>
      <c r="I16" s="947">
        <v>0</v>
      </c>
      <c r="J16" s="947">
        <v>0</v>
      </c>
      <c r="K16" s="947">
        <v>0</v>
      </c>
      <c r="L16" s="947" t="s">
        <v>454</v>
      </c>
      <c r="M16" s="947">
        <v>0</v>
      </c>
      <c r="N16" s="947">
        <v>0</v>
      </c>
      <c r="O16" s="947">
        <v>0</v>
      </c>
      <c r="P16" s="947">
        <v>0</v>
      </c>
      <c r="Q16" s="947">
        <v>0</v>
      </c>
      <c r="R16" s="947">
        <v>0</v>
      </c>
    </row>
    <row r="17" spans="1:19" s="819" customFormat="1" x14ac:dyDescent="0.2">
      <c r="A17" s="817"/>
      <c r="B17" s="799" t="s">
        <v>40</v>
      </c>
      <c r="C17" s="817" t="s">
        <v>41</v>
      </c>
      <c r="D17" s="817"/>
      <c r="E17" s="812" t="s">
        <v>14</v>
      </c>
      <c r="F17" s="818"/>
      <c r="G17" s="27" t="s">
        <v>42</v>
      </c>
      <c r="H17" s="948">
        <v>0</v>
      </c>
      <c r="I17" s="948">
        <v>0</v>
      </c>
      <c r="J17" s="948">
        <v>0</v>
      </c>
      <c r="K17" s="948">
        <v>0</v>
      </c>
      <c r="L17" s="948">
        <v>0</v>
      </c>
      <c r="M17" s="948">
        <v>0</v>
      </c>
      <c r="N17" s="948">
        <v>0</v>
      </c>
      <c r="O17" s="948">
        <v>0</v>
      </c>
      <c r="P17" s="948">
        <v>0</v>
      </c>
      <c r="Q17" s="948">
        <v>0</v>
      </c>
      <c r="R17" s="948">
        <v>0</v>
      </c>
      <c r="S17" s="801"/>
    </row>
    <row r="18" spans="1:19" x14ac:dyDescent="0.2">
      <c r="B18" s="799" t="s">
        <v>43</v>
      </c>
      <c r="C18" s="811">
        <v>2</v>
      </c>
      <c r="E18" s="814"/>
      <c r="G18" s="18" t="s">
        <v>44</v>
      </c>
      <c r="H18" s="946">
        <f>H19+H27</f>
        <v>276.66699999999992</v>
      </c>
      <c r="I18" s="946">
        <f t="shared" ref="I18:R18" si="3">I19+I27</f>
        <v>308.54999999999984</v>
      </c>
      <c r="J18" s="946">
        <f t="shared" si="3"/>
        <v>332.51900000000001</v>
      </c>
      <c r="K18" s="946">
        <f t="shared" si="3"/>
        <v>522.80899999999997</v>
      </c>
      <c r="L18" s="946">
        <f t="shared" si="3"/>
        <v>717.98700000000008</v>
      </c>
      <c r="M18" s="946">
        <f t="shared" si="3"/>
        <v>803.90100000000007</v>
      </c>
      <c r="N18" s="946">
        <f t="shared" si="3"/>
        <v>713</v>
      </c>
      <c r="O18" s="946">
        <f t="shared" si="3"/>
        <v>701</v>
      </c>
      <c r="P18" s="946">
        <f t="shared" si="3"/>
        <v>766</v>
      </c>
      <c r="Q18" s="946">
        <f t="shared" si="3"/>
        <v>753</v>
      </c>
      <c r="R18" s="946">
        <f t="shared" si="3"/>
        <v>780</v>
      </c>
    </row>
    <row r="19" spans="1:19" x14ac:dyDescent="0.2">
      <c r="B19" s="799" t="s">
        <v>45</v>
      </c>
      <c r="C19" s="811" t="s">
        <v>46</v>
      </c>
      <c r="E19" s="814"/>
      <c r="G19" s="18" t="s">
        <v>47</v>
      </c>
      <c r="H19" s="946">
        <f>SUM(H21:H26)</f>
        <v>238.65299999999999</v>
      </c>
      <c r="I19" s="946">
        <f t="shared" ref="I19:R19" si="4">SUM(I21:I26)</f>
        <v>230.101</v>
      </c>
      <c r="J19" s="946">
        <f t="shared" si="4"/>
        <v>186.077</v>
      </c>
      <c r="K19" s="946">
        <f t="shared" si="4"/>
        <v>241.405</v>
      </c>
      <c r="L19" s="946">
        <f t="shared" si="4"/>
        <v>267.96899999999999</v>
      </c>
      <c r="M19" s="946">
        <f t="shared" si="4"/>
        <v>289.41000000000003</v>
      </c>
      <c r="N19" s="946">
        <f t="shared" si="4"/>
        <v>194</v>
      </c>
      <c r="O19" s="946">
        <f t="shared" si="4"/>
        <v>145</v>
      </c>
      <c r="P19" s="946">
        <f t="shared" si="4"/>
        <v>193</v>
      </c>
      <c r="Q19" s="946">
        <f t="shared" si="4"/>
        <v>160</v>
      </c>
      <c r="R19" s="946">
        <f t="shared" si="4"/>
        <v>187</v>
      </c>
    </row>
    <row r="20" spans="1:19" s="821" customFormat="1" x14ac:dyDescent="0.2">
      <c r="A20" s="820"/>
      <c r="B20" s="799" t="s">
        <v>48</v>
      </c>
      <c r="C20" s="817" t="s">
        <v>49</v>
      </c>
      <c r="D20" s="817"/>
      <c r="E20" s="812" t="s">
        <v>14</v>
      </c>
      <c r="F20" s="820"/>
      <c r="G20" s="27" t="s">
        <v>50</v>
      </c>
      <c r="H20" s="949">
        <v>238.65299999999999</v>
      </c>
      <c r="I20" s="949">
        <v>230.101</v>
      </c>
      <c r="J20" s="949">
        <v>186.077</v>
      </c>
      <c r="K20" s="949">
        <v>241.405</v>
      </c>
      <c r="L20" s="949">
        <v>267.96899999999999</v>
      </c>
      <c r="M20" s="949">
        <v>289.41000000000003</v>
      </c>
      <c r="N20" s="949">
        <v>194</v>
      </c>
      <c r="O20" s="949">
        <v>135</v>
      </c>
      <c r="P20" s="949">
        <v>193</v>
      </c>
      <c r="Q20" s="949">
        <v>160</v>
      </c>
      <c r="R20" s="949">
        <v>187</v>
      </c>
    </row>
    <row r="21" spans="1:19" x14ac:dyDescent="0.2">
      <c r="B21" s="799" t="s">
        <v>51</v>
      </c>
      <c r="C21" s="822" t="s">
        <v>52</v>
      </c>
      <c r="D21" s="822"/>
      <c r="E21" s="812" t="s">
        <v>14</v>
      </c>
      <c r="G21" s="18" t="s">
        <v>53</v>
      </c>
      <c r="H21" s="947">
        <v>238.65299999999999</v>
      </c>
      <c r="I21" s="947">
        <v>230.101</v>
      </c>
      <c r="J21" s="947">
        <v>186.077</v>
      </c>
      <c r="K21" s="947">
        <v>241.405</v>
      </c>
      <c r="L21" s="947">
        <v>267.96899999999999</v>
      </c>
      <c r="M21" s="947">
        <v>289.41000000000003</v>
      </c>
      <c r="N21" s="947">
        <v>194</v>
      </c>
      <c r="O21" s="947">
        <v>145</v>
      </c>
      <c r="P21" s="947">
        <v>193</v>
      </c>
      <c r="Q21" s="947">
        <v>160</v>
      </c>
      <c r="R21" s="947">
        <v>187</v>
      </c>
    </row>
    <row r="22" spans="1:19" x14ac:dyDescent="0.2">
      <c r="B22" s="799" t="s">
        <v>54</v>
      </c>
      <c r="C22" s="811" t="s">
        <v>55</v>
      </c>
      <c r="E22" s="812" t="s">
        <v>14</v>
      </c>
      <c r="G22" s="18" t="s">
        <v>56</v>
      </c>
      <c r="H22" s="947">
        <v>0</v>
      </c>
      <c r="I22" s="947">
        <v>0</v>
      </c>
      <c r="J22" s="947">
        <v>0</v>
      </c>
      <c r="K22" s="947">
        <v>0</v>
      </c>
      <c r="L22" s="947">
        <v>0</v>
      </c>
      <c r="M22" s="947">
        <v>0</v>
      </c>
      <c r="N22" s="947">
        <v>0</v>
      </c>
      <c r="O22" s="947">
        <v>0</v>
      </c>
      <c r="P22" s="947">
        <v>0</v>
      </c>
      <c r="Q22" s="947">
        <v>0</v>
      </c>
      <c r="R22" s="947">
        <v>0</v>
      </c>
    </row>
    <row r="23" spans="1:19" x14ac:dyDescent="0.2">
      <c r="B23" s="799" t="s">
        <v>57</v>
      </c>
      <c r="C23" s="811">
        <v>257</v>
      </c>
      <c r="E23" s="812" t="s">
        <v>14</v>
      </c>
      <c r="G23" s="18" t="s">
        <v>58</v>
      </c>
      <c r="H23" s="947">
        <v>0</v>
      </c>
      <c r="I23" s="947">
        <v>0</v>
      </c>
      <c r="J23" s="947">
        <v>0</v>
      </c>
      <c r="K23" s="947">
        <v>0</v>
      </c>
      <c r="L23" s="947">
        <v>0</v>
      </c>
      <c r="M23" s="947">
        <v>0</v>
      </c>
      <c r="N23" s="947">
        <v>0</v>
      </c>
      <c r="O23" s="947">
        <v>0</v>
      </c>
      <c r="P23" s="947">
        <v>0</v>
      </c>
      <c r="Q23" s="947">
        <v>0</v>
      </c>
      <c r="R23" s="947">
        <v>0</v>
      </c>
    </row>
    <row r="24" spans="1:19" x14ac:dyDescent="0.2">
      <c r="A24" s="823"/>
      <c r="B24" s="799" t="s">
        <v>59</v>
      </c>
      <c r="C24" s="811" t="s">
        <v>60</v>
      </c>
      <c r="E24" s="812" t="s">
        <v>14</v>
      </c>
      <c r="F24" s="823"/>
      <c r="G24" s="18" t="s">
        <v>61</v>
      </c>
      <c r="H24" s="947">
        <v>0</v>
      </c>
      <c r="I24" s="947">
        <v>0</v>
      </c>
      <c r="J24" s="947">
        <v>0</v>
      </c>
      <c r="K24" s="947">
        <v>0</v>
      </c>
      <c r="L24" s="947">
        <v>0</v>
      </c>
      <c r="M24" s="947">
        <v>0</v>
      </c>
      <c r="N24" s="947">
        <v>0</v>
      </c>
      <c r="O24" s="947">
        <v>0</v>
      </c>
      <c r="P24" s="947">
        <v>0</v>
      </c>
      <c r="Q24" s="947">
        <v>0</v>
      </c>
      <c r="R24" s="947">
        <v>0</v>
      </c>
    </row>
    <row r="25" spans="1:19" x14ac:dyDescent="0.2">
      <c r="A25" s="823"/>
      <c r="B25" s="799" t="s">
        <v>62</v>
      </c>
      <c r="C25" s="811" t="s">
        <v>63</v>
      </c>
      <c r="E25" s="812" t="s">
        <v>14</v>
      </c>
      <c r="F25" s="823"/>
      <c r="G25" s="18" t="s">
        <v>64</v>
      </c>
      <c r="H25" s="947">
        <v>0</v>
      </c>
      <c r="I25" s="947">
        <v>0</v>
      </c>
      <c r="J25" s="947">
        <v>0</v>
      </c>
      <c r="K25" s="947">
        <v>0</v>
      </c>
      <c r="L25" s="947">
        <v>0</v>
      </c>
      <c r="M25" s="947">
        <v>0</v>
      </c>
      <c r="N25" s="947">
        <v>0</v>
      </c>
      <c r="O25" s="947">
        <v>0</v>
      </c>
      <c r="P25" s="947">
        <v>0</v>
      </c>
      <c r="Q25" s="947">
        <v>0</v>
      </c>
      <c r="R25" s="947">
        <v>0</v>
      </c>
    </row>
    <row r="26" spans="1:19" x14ac:dyDescent="0.2">
      <c r="B26" s="799" t="s">
        <v>65</v>
      </c>
      <c r="C26" s="811">
        <v>28</v>
      </c>
      <c r="E26" s="812" t="s">
        <v>14</v>
      </c>
      <c r="G26" s="18" t="s">
        <v>66</v>
      </c>
      <c r="H26" s="947">
        <v>0</v>
      </c>
      <c r="I26" s="947">
        <v>0</v>
      </c>
      <c r="J26" s="947">
        <v>0</v>
      </c>
      <c r="K26" s="947">
        <v>0</v>
      </c>
      <c r="L26" s="947">
        <v>0</v>
      </c>
      <c r="M26" s="947">
        <v>0</v>
      </c>
      <c r="N26" s="947">
        <v>0</v>
      </c>
      <c r="O26" s="947">
        <v>0</v>
      </c>
      <c r="P26" s="947">
        <v>0</v>
      </c>
      <c r="Q26" s="947">
        <v>0</v>
      </c>
      <c r="R26" s="947">
        <v>0</v>
      </c>
    </row>
    <row r="27" spans="1:19" x14ac:dyDescent="0.2">
      <c r="B27" s="799" t="s">
        <v>67</v>
      </c>
      <c r="C27" s="811">
        <v>29</v>
      </c>
      <c r="E27" s="814"/>
      <c r="G27" s="18" t="s">
        <v>68</v>
      </c>
      <c r="H27" s="946">
        <f>SUM(H28:H30)</f>
        <v>38.013999999999896</v>
      </c>
      <c r="I27" s="946">
        <f t="shared" ref="I27:R27" si="5">SUM(I28:I30)</f>
        <v>78.448999999999842</v>
      </c>
      <c r="J27" s="946">
        <f t="shared" si="5"/>
        <v>146.44200000000001</v>
      </c>
      <c r="K27" s="946">
        <f t="shared" si="5"/>
        <v>281.404</v>
      </c>
      <c r="L27" s="946">
        <f t="shared" si="5"/>
        <v>450.01800000000003</v>
      </c>
      <c r="M27" s="946">
        <f t="shared" si="5"/>
        <v>514.49099999999999</v>
      </c>
      <c r="N27" s="946">
        <f t="shared" si="5"/>
        <v>519</v>
      </c>
      <c r="O27" s="946">
        <f t="shared" si="5"/>
        <v>556</v>
      </c>
      <c r="P27" s="946">
        <f t="shared" si="5"/>
        <v>573</v>
      </c>
      <c r="Q27" s="946">
        <f t="shared" si="5"/>
        <v>593</v>
      </c>
      <c r="R27" s="946">
        <f t="shared" si="5"/>
        <v>593</v>
      </c>
    </row>
    <row r="28" spans="1:19" x14ac:dyDescent="0.2">
      <c r="B28" s="799" t="s">
        <v>69</v>
      </c>
      <c r="C28" s="808" t="s">
        <v>70</v>
      </c>
      <c r="D28" s="808"/>
      <c r="E28" s="812" t="s">
        <v>14</v>
      </c>
      <c r="G28" s="18" t="s">
        <v>71</v>
      </c>
      <c r="H28" s="947">
        <v>38.014000000000003</v>
      </c>
      <c r="I28" s="947">
        <v>78.448999999999998</v>
      </c>
      <c r="J28" s="947">
        <v>146.44200000000001</v>
      </c>
      <c r="K28" s="947">
        <v>285.86099999999999</v>
      </c>
      <c r="L28" s="947">
        <v>285.86099999999999</v>
      </c>
      <c r="M28" s="947">
        <v>285.86099999999999</v>
      </c>
      <c r="N28" s="947">
        <v>286</v>
      </c>
      <c r="O28" s="947">
        <v>286</v>
      </c>
      <c r="P28" s="947">
        <v>286</v>
      </c>
      <c r="Q28" s="947">
        <v>286</v>
      </c>
      <c r="R28" s="947">
        <v>286</v>
      </c>
    </row>
    <row r="29" spans="1:19" x14ac:dyDescent="0.2">
      <c r="B29" s="799" t="s">
        <v>72</v>
      </c>
      <c r="C29" s="811">
        <v>298</v>
      </c>
      <c r="E29" s="812" t="s">
        <v>14</v>
      </c>
      <c r="G29" s="18" t="s">
        <v>73</v>
      </c>
      <c r="H29" s="947">
        <v>2001.0050000000001</v>
      </c>
      <c r="I29" s="947">
        <v>2022.162</v>
      </c>
      <c r="J29" s="947">
        <v>2178.558</v>
      </c>
      <c r="K29" s="947">
        <v>-53.106000000000002</v>
      </c>
      <c r="L29" s="947">
        <v>-4.4569999999999999</v>
      </c>
      <c r="M29" s="947">
        <v>164.15799999999999</v>
      </c>
      <c r="N29" s="947">
        <f>164+64</f>
        <v>228</v>
      </c>
      <c r="O29" s="947">
        <v>233</v>
      </c>
      <c r="P29" s="947">
        <v>270</v>
      </c>
      <c r="Q29" s="947">
        <v>287</v>
      </c>
      <c r="R29" s="947">
        <v>307</v>
      </c>
    </row>
    <row r="30" spans="1:19" x14ac:dyDescent="0.2">
      <c r="B30" s="799" t="s">
        <v>74</v>
      </c>
      <c r="C30" s="811">
        <v>299</v>
      </c>
      <c r="E30" s="812" t="s">
        <v>484</v>
      </c>
      <c r="G30" s="18" t="s">
        <v>76</v>
      </c>
      <c r="H30" s="947">
        <v>-2001.0050000000001</v>
      </c>
      <c r="I30" s="947">
        <v>-2022.162</v>
      </c>
      <c r="J30" s="947">
        <v>-2178.558</v>
      </c>
      <c r="K30" s="947">
        <v>48.649000000000001</v>
      </c>
      <c r="L30" s="947">
        <v>168.614</v>
      </c>
      <c r="M30" s="947">
        <v>64.471999999999994</v>
      </c>
      <c r="N30" s="947">
        <v>5</v>
      </c>
      <c r="O30" s="947">
        <v>37</v>
      </c>
      <c r="P30" s="947">
        <v>17</v>
      </c>
      <c r="Q30" s="947">
        <v>20</v>
      </c>
      <c r="R30" s="947">
        <v>0</v>
      </c>
    </row>
    <row r="31" spans="1:19" s="827" customFormat="1" x14ac:dyDescent="0.2">
      <c r="A31" s="824"/>
      <c r="B31" s="803"/>
      <c r="C31" s="825"/>
      <c r="D31" s="825"/>
      <c r="E31" s="826"/>
      <c r="F31" s="824"/>
      <c r="G31" s="181" t="s">
        <v>77</v>
      </c>
      <c r="H31" s="950">
        <f t="shared" ref="H31:R31" si="6">H4-H18</f>
        <v>0</v>
      </c>
      <c r="I31" s="950">
        <f t="shared" si="6"/>
        <v>0</v>
      </c>
      <c r="J31" s="950">
        <f t="shared" si="6"/>
        <v>9.9999999997635314E-4</v>
      </c>
      <c r="K31" s="950">
        <f t="shared" si="6"/>
        <v>9.9999999997635314E-4</v>
      </c>
      <c r="L31" s="950">
        <f t="shared" si="6"/>
        <v>9.9999999997635314E-4</v>
      </c>
      <c r="M31" s="950">
        <f t="shared" si="6"/>
        <v>0</v>
      </c>
      <c r="N31" s="950">
        <f t="shared" si="6"/>
        <v>0</v>
      </c>
      <c r="O31" s="950">
        <f t="shared" si="6"/>
        <v>0</v>
      </c>
      <c r="P31" s="950">
        <f t="shared" si="6"/>
        <v>-8.0000000000381988E-3</v>
      </c>
      <c r="Q31" s="950">
        <f t="shared" si="6"/>
        <v>0</v>
      </c>
      <c r="R31" s="950">
        <f t="shared" si="6"/>
        <v>0</v>
      </c>
      <c r="S31" s="801"/>
    </row>
    <row r="32" spans="1:19" x14ac:dyDescent="0.2">
      <c r="G32" s="943" t="s">
        <v>78</v>
      </c>
      <c r="H32" s="951">
        <v>2011</v>
      </c>
      <c r="I32" s="951">
        <f t="shared" ref="I32:R32" si="7">H32+1</f>
        <v>2012</v>
      </c>
      <c r="J32" s="951">
        <f t="shared" si="7"/>
        <v>2013</v>
      </c>
      <c r="K32" s="951">
        <f t="shared" si="7"/>
        <v>2014</v>
      </c>
      <c r="L32" s="951">
        <f t="shared" si="7"/>
        <v>2015</v>
      </c>
      <c r="M32" s="951">
        <f t="shared" si="7"/>
        <v>2016</v>
      </c>
      <c r="N32" s="951">
        <f t="shared" si="7"/>
        <v>2017</v>
      </c>
      <c r="O32" s="951">
        <f t="shared" si="7"/>
        <v>2018</v>
      </c>
      <c r="P32" s="951">
        <f t="shared" si="7"/>
        <v>2019</v>
      </c>
      <c r="Q32" s="951">
        <f t="shared" si="7"/>
        <v>2020</v>
      </c>
      <c r="R32" s="951">
        <f t="shared" si="7"/>
        <v>2021</v>
      </c>
    </row>
    <row r="33" spans="1:18" x14ac:dyDescent="0.2">
      <c r="B33" s="799" t="s">
        <v>79</v>
      </c>
      <c r="C33" s="811">
        <v>3</v>
      </c>
      <c r="G33" s="945" t="s">
        <v>80</v>
      </c>
      <c r="H33" s="946">
        <f>SUM(H34:H37)</f>
        <v>152.90799999999999</v>
      </c>
      <c r="I33" s="946">
        <f t="shared" ref="I33:R33" si="8">SUM(I34:I37)</f>
        <v>275.79899999999998</v>
      </c>
      <c r="J33" s="946">
        <f t="shared" si="8"/>
        <v>411.90999999999997</v>
      </c>
      <c r="K33" s="946">
        <f t="shared" si="8"/>
        <v>2403.567</v>
      </c>
      <c r="L33" s="946">
        <f t="shared" si="8"/>
        <v>2997.1560000000004</v>
      </c>
      <c r="M33" s="946">
        <f t="shared" si="8"/>
        <v>3092.2889999999998</v>
      </c>
      <c r="N33" s="946">
        <f t="shared" si="8"/>
        <v>2923.8449999999998</v>
      </c>
      <c r="O33" s="946">
        <f t="shared" si="8"/>
        <v>2955</v>
      </c>
      <c r="P33" s="946">
        <f t="shared" si="8"/>
        <v>2995</v>
      </c>
      <c r="Q33" s="946">
        <f t="shared" si="8"/>
        <v>3025</v>
      </c>
      <c r="R33" s="946">
        <f t="shared" si="8"/>
        <v>3025</v>
      </c>
    </row>
    <row r="34" spans="1:18" x14ac:dyDescent="0.2">
      <c r="B34" s="799" t="s">
        <v>81</v>
      </c>
      <c r="C34" s="811">
        <v>30</v>
      </c>
      <c r="E34" s="812" t="s">
        <v>14</v>
      </c>
      <c r="G34" s="18" t="s">
        <v>82</v>
      </c>
      <c r="H34" s="947">
        <v>0</v>
      </c>
      <c r="I34" s="947">
        <v>0</v>
      </c>
      <c r="J34" s="947">
        <v>0</v>
      </c>
      <c r="K34" s="947">
        <v>0</v>
      </c>
      <c r="L34" s="947">
        <v>0</v>
      </c>
      <c r="M34" s="947">
        <v>0</v>
      </c>
      <c r="N34" s="947">
        <v>0</v>
      </c>
      <c r="O34" s="947">
        <v>0</v>
      </c>
      <c r="P34" s="947">
        <v>0</v>
      </c>
      <c r="Q34" s="947">
        <v>0</v>
      </c>
      <c r="R34" s="947">
        <v>0</v>
      </c>
    </row>
    <row r="35" spans="1:18" x14ac:dyDescent="0.2">
      <c r="B35" s="799" t="s">
        <v>83</v>
      </c>
      <c r="C35" s="811">
        <v>32</v>
      </c>
      <c r="E35" s="812" t="s">
        <v>14</v>
      </c>
      <c r="G35" s="18" t="s">
        <v>84</v>
      </c>
      <c r="H35" s="947">
        <v>142.61199999999999</v>
      </c>
      <c r="I35" s="947">
        <v>257.29899999999998</v>
      </c>
      <c r="J35" s="947">
        <v>388.51</v>
      </c>
      <c r="K35" s="947">
        <v>266.80599999999998</v>
      </c>
      <c r="L35" s="947">
        <v>347.01799999999997</v>
      </c>
      <c r="M35" s="947">
        <v>443.44600000000003</v>
      </c>
      <c r="N35" s="947">
        <f>182.962+56</f>
        <v>238.96199999999999</v>
      </c>
      <c r="O35" s="947">
        <v>290</v>
      </c>
      <c r="P35" s="947">
        <v>310</v>
      </c>
      <c r="Q35" s="947">
        <v>330</v>
      </c>
      <c r="R35" s="947">
        <v>330</v>
      </c>
    </row>
    <row r="36" spans="1:18" x14ac:dyDescent="0.2">
      <c r="A36" s="815"/>
      <c r="B36" s="799" t="s">
        <v>85</v>
      </c>
      <c r="C36" s="811">
        <v>35</v>
      </c>
      <c r="E36" s="812" t="s">
        <v>14</v>
      </c>
      <c r="F36" s="815"/>
      <c r="G36" s="18" t="s">
        <v>86</v>
      </c>
      <c r="H36" s="947">
        <v>10.295999999999999</v>
      </c>
      <c r="I36" s="947">
        <v>18.5</v>
      </c>
      <c r="J36" s="947">
        <v>23.4</v>
      </c>
      <c r="K36" s="947">
        <v>2136.761</v>
      </c>
      <c r="L36" s="947">
        <v>2640.3470000000002</v>
      </c>
      <c r="M36" s="947">
        <v>2648.8429999999998</v>
      </c>
      <c r="N36" s="947">
        <f>2604.883+80</f>
        <v>2684.8829999999998</v>
      </c>
      <c r="O36" s="947">
        <f>2610+55</f>
        <v>2665</v>
      </c>
      <c r="P36" s="947">
        <f>2630+55</f>
        <v>2685</v>
      </c>
      <c r="Q36" s="947">
        <f>2640+55</f>
        <v>2695</v>
      </c>
      <c r="R36" s="947">
        <f>2640+55</f>
        <v>2695</v>
      </c>
    </row>
    <row r="37" spans="1:18" x14ac:dyDescent="0.2">
      <c r="B37" s="799" t="s">
        <v>87</v>
      </c>
      <c r="C37" s="811">
        <v>38</v>
      </c>
      <c r="E37" s="812" t="s">
        <v>14</v>
      </c>
      <c r="G37" s="18" t="s">
        <v>88</v>
      </c>
      <c r="H37" s="947">
        <v>0</v>
      </c>
      <c r="I37" s="947">
        <v>0</v>
      </c>
      <c r="J37" s="947">
        <v>0</v>
      </c>
      <c r="K37" s="947">
        <v>0</v>
      </c>
      <c r="L37" s="947">
        <v>9.7910000000000004</v>
      </c>
      <c r="M37" s="947">
        <v>0</v>
      </c>
      <c r="N37" s="947">
        <v>0</v>
      </c>
      <c r="O37" s="947">
        <v>0</v>
      </c>
      <c r="P37" s="947">
        <v>0</v>
      </c>
      <c r="Q37" s="947">
        <v>0</v>
      </c>
      <c r="R37" s="947">
        <v>0</v>
      </c>
    </row>
    <row r="38" spans="1:18" x14ac:dyDescent="0.2">
      <c r="B38" s="799" t="s">
        <v>89</v>
      </c>
      <c r="C38" s="811">
        <v>4</v>
      </c>
      <c r="E38" s="829"/>
      <c r="G38" s="18" t="s">
        <v>90</v>
      </c>
      <c r="H38" s="946">
        <f>H39+H40</f>
        <v>-0.128</v>
      </c>
      <c r="I38" s="946">
        <f t="shared" ref="I38:R38" si="9">I39+I40</f>
        <v>-0.128</v>
      </c>
      <c r="J38" s="946">
        <f t="shared" si="9"/>
        <v>-0.128</v>
      </c>
      <c r="K38" s="946">
        <f t="shared" si="9"/>
        <v>0</v>
      </c>
      <c r="L38" s="946">
        <f t="shared" si="9"/>
        <v>0</v>
      </c>
      <c r="M38" s="946">
        <f t="shared" si="9"/>
        <v>0</v>
      </c>
      <c r="N38" s="946">
        <f t="shared" si="9"/>
        <v>0</v>
      </c>
      <c r="O38" s="946">
        <f t="shared" si="9"/>
        <v>0</v>
      </c>
      <c r="P38" s="946">
        <f t="shared" si="9"/>
        <v>0</v>
      </c>
      <c r="Q38" s="946">
        <f t="shared" si="9"/>
        <v>0</v>
      </c>
      <c r="R38" s="946">
        <f t="shared" si="9"/>
        <v>0</v>
      </c>
    </row>
    <row r="39" spans="1:18" x14ac:dyDescent="0.2">
      <c r="B39" s="799" t="s">
        <v>91</v>
      </c>
      <c r="C39" s="811">
        <v>41</v>
      </c>
      <c r="E39" s="812" t="s">
        <v>485</v>
      </c>
      <c r="G39" s="18" t="s">
        <v>93</v>
      </c>
      <c r="H39" s="947">
        <v>0</v>
      </c>
      <c r="I39" s="947">
        <v>0</v>
      </c>
      <c r="J39" s="947">
        <v>0</v>
      </c>
      <c r="K39" s="947">
        <v>0</v>
      </c>
      <c r="L39" s="947">
        <v>0</v>
      </c>
      <c r="M39" s="947">
        <v>0</v>
      </c>
      <c r="N39" s="947">
        <v>0</v>
      </c>
      <c r="O39" s="947">
        <v>0</v>
      </c>
      <c r="P39" s="947">
        <v>0</v>
      </c>
      <c r="Q39" s="947">
        <v>0</v>
      </c>
      <c r="R39" s="947">
        <v>0</v>
      </c>
    </row>
    <row r="40" spans="1:18" x14ac:dyDescent="0.2">
      <c r="B40" s="799" t="s">
        <v>94</v>
      </c>
      <c r="C40" s="811">
        <v>45</v>
      </c>
      <c r="E40" s="812" t="s">
        <v>485</v>
      </c>
      <c r="G40" s="18" t="s">
        <v>95</v>
      </c>
      <c r="H40" s="947">
        <v>-0.128</v>
      </c>
      <c r="I40" s="947">
        <v>-0.128</v>
      </c>
      <c r="J40" s="947">
        <v>-0.128</v>
      </c>
      <c r="K40" s="947">
        <v>0</v>
      </c>
      <c r="L40" s="947">
        <v>0</v>
      </c>
      <c r="M40" s="947">
        <v>0</v>
      </c>
      <c r="N40" s="947">
        <v>0</v>
      </c>
      <c r="O40" s="947">
        <v>0</v>
      </c>
      <c r="P40" s="947">
        <v>0</v>
      </c>
      <c r="Q40" s="947">
        <v>0</v>
      </c>
      <c r="R40" s="947">
        <v>0</v>
      </c>
    </row>
    <row r="41" spans="1:18" x14ac:dyDescent="0.2">
      <c r="A41" s="815"/>
      <c r="B41" s="799" t="s">
        <v>96</v>
      </c>
      <c r="C41" s="811" t="s">
        <v>97</v>
      </c>
      <c r="E41" s="829"/>
      <c r="F41" s="815"/>
      <c r="G41" s="18" t="s">
        <v>98</v>
      </c>
      <c r="H41" s="946">
        <f>SUM(H42:H45)</f>
        <v>-2153.7840000000006</v>
      </c>
      <c r="I41" s="946">
        <f t="shared" ref="I41:R41" si="10">SUM(I42:I45)</f>
        <v>-2297.8340000000003</v>
      </c>
      <c r="J41" s="946">
        <f t="shared" si="10"/>
        <v>-2590.3389999999999</v>
      </c>
      <c r="K41" s="946">
        <f t="shared" si="10"/>
        <v>-2354.9180000000001</v>
      </c>
      <c r="L41" s="946">
        <f t="shared" si="10"/>
        <v>-2830.55</v>
      </c>
      <c r="M41" s="946">
        <f t="shared" si="10"/>
        <v>-3029.6780000000003</v>
      </c>
      <c r="N41" s="946">
        <f t="shared" si="10"/>
        <v>-2920.982</v>
      </c>
      <c r="O41" s="946">
        <f t="shared" si="10"/>
        <v>-2918</v>
      </c>
      <c r="P41" s="946">
        <f t="shared" si="10"/>
        <v>-2978</v>
      </c>
      <c r="Q41" s="946">
        <f t="shared" si="10"/>
        <v>-3005</v>
      </c>
      <c r="R41" s="946">
        <f t="shared" si="10"/>
        <v>-3025</v>
      </c>
    </row>
    <row r="42" spans="1:18" x14ac:dyDescent="0.2">
      <c r="B42" s="799" t="s">
        <v>99</v>
      </c>
      <c r="C42" s="811">
        <v>50</v>
      </c>
      <c r="E42" s="812" t="s">
        <v>485</v>
      </c>
      <c r="G42" s="18" t="s">
        <v>100</v>
      </c>
      <c r="H42" s="947">
        <v>-1834.4590000000001</v>
      </c>
      <c r="I42" s="947">
        <v>-1842.1130000000001</v>
      </c>
      <c r="J42" s="947">
        <v>-1913.0740000000001</v>
      </c>
      <c r="K42" s="947">
        <v>-1849.4079999999999</v>
      </c>
      <c r="L42" s="947">
        <v>-2118.8009999999999</v>
      </c>
      <c r="M42" s="947">
        <v>-2161.67</v>
      </c>
      <c r="N42" s="947">
        <v>-2125.674</v>
      </c>
      <c r="O42" s="947">
        <v>-2126</v>
      </c>
      <c r="P42" s="947">
        <v>-2180</v>
      </c>
      <c r="Q42" s="947">
        <v>-2180</v>
      </c>
      <c r="R42" s="947">
        <v>-2220</v>
      </c>
    </row>
    <row r="43" spans="1:18" x14ac:dyDescent="0.2">
      <c r="B43" s="799" t="s">
        <v>101</v>
      </c>
      <c r="C43" s="811">
        <v>55</v>
      </c>
      <c r="E43" s="812" t="s">
        <v>485</v>
      </c>
      <c r="G43" s="18" t="s">
        <v>102</v>
      </c>
      <c r="H43" s="947">
        <v>-286.03800000000001</v>
      </c>
      <c r="I43" s="947">
        <v>-422.65600000000001</v>
      </c>
      <c r="J43" s="947">
        <v>-645.58100000000002</v>
      </c>
      <c r="K43" s="947">
        <v>-481.45299999999997</v>
      </c>
      <c r="L43" s="947">
        <f>-682.874-11.748</f>
        <v>-694.62200000000007</v>
      </c>
      <c r="M43" s="947">
        <f>-775.001-50.095</f>
        <v>-825.096</v>
      </c>
      <c r="N43" s="947">
        <v>-779</v>
      </c>
      <c r="O43" s="947">
        <v>-775</v>
      </c>
      <c r="P43" s="947">
        <v>-790</v>
      </c>
      <c r="Q43" s="947">
        <v>-815</v>
      </c>
      <c r="R43" s="947">
        <v>-795</v>
      </c>
    </row>
    <row r="44" spans="1:18" x14ac:dyDescent="0.2">
      <c r="A44" s="815"/>
      <c r="B44" s="799" t="s">
        <v>103</v>
      </c>
      <c r="C44" s="811">
        <v>60</v>
      </c>
      <c r="E44" s="812" t="s">
        <v>485</v>
      </c>
      <c r="F44" s="815"/>
      <c r="G44" s="18" t="s">
        <v>104</v>
      </c>
      <c r="H44" s="947">
        <v>-15.46</v>
      </c>
      <c r="I44" s="947">
        <v>-13.929</v>
      </c>
      <c r="J44" s="947">
        <v>-12.053000000000001</v>
      </c>
      <c r="K44" s="947">
        <v>-8.9139999999999997</v>
      </c>
      <c r="L44" s="947">
        <v>-0.80900000000000005</v>
      </c>
      <c r="M44" s="947">
        <v>-0.09</v>
      </c>
      <c r="N44" s="947">
        <v>0</v>
      </c>
      <c r="O44" s="947">
        <v>0</v>
      </c>
      <c r="P44" s="947">
        <v>0</v>
      </c>
      <c r="Q44" s="947">
        <v>0</v>
      </c>
      <c r="R44" s="947">
        <v>0</v>
      </c>
    </row>
    <row r="45" spans="1:18" x14ac:dyDescent="0.2">
      <c r="B45" s="799" t="s">
        <v>105</v>
      </c>
      <c r="C45" s="811">
        <v>61</v>
      </c>
      <c r="E45" s="812" t="s">
        <v>485</v>
      </c>
      <c r="G45" s="18" t="s">
        <v>106</v>
      </c>
      <c r="H45" s="947">
        <v>-17.827000000000002</v>
      </c>
      <c r="I45" s="947">
        <v>-19.135999999999999</v>
      </c>
      <c r="J45" s="947">
        <v>-19.631</v>
      </c>
      <c r="K45" s="947">
        <v>-15.143000000000001</v>
      </c>
      <c r="L45" s="947">
        <v>-16.318000000000001</v>
      </c>
      <c r="M45" s="947">
        <v>-42.822000000000003</v>
      </c>
      <c r="N45" s="947">
        <v>-16.308</v>
      </c>
      <c r="O45" s="947">
        <v>-17</v>
      </c>
      <c r="P45" s="947">
        <v>-8</v>
      </c>
      <c r="Q45" s="947">
        <v>-10</v>
      </c>
      <c r="R45" s="947">
        <v>-10</v>
      </c>
    </row>
    <row r="46" spans="1:18" x14ac:dyDescent="0.2">
      <c r="B46" s="799" t="s">
        <v>107</v>
      </c>
      <c r="G46" s="18" t="s">
        <v>108</v>
      </c>
      <c r="H46" s="946">
        <f>H33+H38+H41</f>
        <v>-2001.0040000000006</v>
      </c>
      <c r="I46" s="946">
        <f t="shared" ref="I46:R46" si="11">I33+I38+I41</f>
        <v>-2022.1630000000002</v>
      </c>
      <c r="J46" s="946">
        <f t="shared" si="11"/>
        <v>-2178.5569999999998</v>
      </c>
      <c r="K46" s="946">
        <f t="shared" si="11"/>
        <v>48.648999999999887</v>
      </c>
      <c r="L46" s="946">
        <f t="shared" si="11"/>
        <v>166.60600000000022</v>
      </c>
      <c r="M46" s="946">
        <f t="shared" si="11"/>
        <v>62.610999999999422</v>
      </c>
      <c r="N46" s="946">
        <f t="shared" si="11"/>
        <v>2.862999999999829</v>
      </c>
      <c r="O46" s="946">
        <f t="shared" si="11"/>
        <v>37</v>
      </c>
      <c r="P46" s="946">
        <f t="shared" si="11"/>
        <v>17</v>
      </c>
      <c r="Q46" s="946">
        <f t="shared" si="11"/>
        <v>20</v>
      </c>
      <c r="R46" s="946">
        <f t="shared" si="11"/>
        <v>0</v>
      </c>
    </row>
    <row r="47" spans="1:18" x14ac:dyDescent="0.2">
      <c r="B47" s="799" t="s">
        <v>109</v>
      </c>
      <c r="C47" s="811">
        <v>65</v>
      </c>
      <c r="E47" s="812" t="s">
        <v>484</v>
      </c>
      <c r="G47" s="18" t="s">
        <v>110</v>
      </c>
      <c r="H47" s="947">
        <v>0</v>
      </c>
      <c r="I47" s="947">
        <v>0</v>
      </c>
      <c r="J47" s="947">
        <v>-1E-3</v>
      </c>
      <c r="K47" s="947">
        <v>0</v>
      </c>
      <c r="L47" s="947">
        <v>2.0089999999999999</v>
      </c>
      <c r="M47" s="947">
        <v>1.665</v>
      </c>
      <c r="N47" s="947">
        <v>2</v>
      </c>
      <c r="O47" s="947">
        <v>0</v>
      </c>
      <c r="P47" s="947">
        <v>0</v>
      </c>
      <c r="Q47" s="947">
        <v>0</v>
      </c>
      <c r="R47" s="947">
        <v>0</v>
      </c>
    </row>
    <row r="48" spans="1:18" x14ac:dyDescent="0.2">
      <c r="B48" s="799" t="s">
        <v>111</v>
      </c>
      <c r="G48" s="18" t="s">
        <v>112</v>
      </c>
      <c r="H48" s="946">
        <f>H46+H47</f>
        <v>-2001.0040000000006</v>
      </c>
      <c r="I48" s="946">
        <f t="shared" ref="I48:R48" si="12">I46+I47</f>
        <v>-2022.1630000000002</v>
      </c>
      <c r="J48" s="946">
        <f t="shared" si="12"/>
        <v>-2178.558</v>
      </c>
      <c r="K48" s="946">
        <f t="shared" si="12"/>
        <v>48.648999999999887</v>
      </c>
      <c r="L48" s="946">
        <f t="shared" si="12"/>
        <v>168.61500000000021</v>
      </c>
      <c r="M48" s="946">
        <f t="shared" si="12"/>
        <v>64.275999999999428</v>
      </c>
      <c r="N48" s="946">
        <f t="shared" si="12"/>
        <v>4.862999999999829</v>
      </c>
      <c r="O48" s="946">
        <f t="shared" si="12"/>
        <v>37</v>
      </c>
      <c r="P48" s="946">
        <f t="shared" si="12"/>
        <v>17</v>
      </c>
      <c r="Q48" s="946">
        <f t="shared" si="12"/>
        <v>20</v>
      </c>
      <c r="R48" s="946">
        <f t="shared" si="12"/>
        <v>0</v>
      </c>
    </row>
    <row r="49" spans="1:18" x14ac:dyDescent="0.2">
      <c r="B49" s="799" t="s">
        <v>113</v>
      </c>
      <c r="C49" s="811">
        <v>68</v>
      </c>
      <c r="E49" s="812" t="s">
        <v>485</v>
      </c>
      <c r="G49" s="18" t="s">
        <v>114</v>
      </c>
      <c r="H49" s="947">
        <v>0</v>
      </c>
      <c r="I49" s="947">
        <v>0</v>
      </c>
      <c r="J49" s="947">
        <v>0</v>
      </c>
      <c r="K49" s="947">
        <v>0</v>
      </c>
      <c r="L49" s="947">
        <v>0</v>
      </c>
      <c r="M49" s="947">
        <v>0</v>
      </c>
      <c r="N49" s="947">
        <v>0</v>
      </c>
      <c r="O49" s="947">
        <v>0</v>
      </c>
      <c r="P49" s="947">
        <v>0</v>
      </c>
      <c r="Q49" s="947">
        <v>0</v>
      </c>
      <c r="R49" s="947">
        <v>0</v>
      </c>
    </row>
    <row r="50" spans="1:18" x14ac:dyDescent="0.2">
      <c r="B50" s="799" t="s">
        <v>115</v>
      </c>
      <c r="C50" s="811">
        <v>69</v>
      </c>
      <c r="E50" s="812" t="s">
        <v>14</v>
      </c>
      <c r="G50" s="18" t="s">
        <v>116</v>
      </c>
      <c r="H50" s="947">
        <v>0</v>
      </c>
      <c r="I50" s="947">
        <v>0</v>
      </c>
      <c r="J50" s="947">
        <v>0</v>
      </c>
      <c r="K50" s="947">
        <v>0</v>
      </c>
      <c r="L50" s="947">
        <v>0</v>
      </c>
      <c r="M50" s="947">
        <v>0</v>
      </c>
      <c r="N50" s="947">
        <v>0</v>
      </c>
      <c r="O50" s="947">
        <v>0</v>
      </c>
      <c r="P50" s="947">
        <v>0</v>
      </c>
      <c r="Q50" s="947">
        <v>0</v>
      </c>
      <c r="R50" s="947">
        <v>0</v>
      </c>
    </row>
    <row r="51" spans="1:18" x14ac:dyDescent="0.2">
      <c r="B51" s="799" t="s">
        <v>117</v>
      </c>
      <c r="G51" s="18" t="s">
        <v>118</v>
      </c>
      <c r="H51" s="946">
        <f>H48+H49+H50</f>
        <v>-2001.0040000000006</v>
      </c>
      <c r="I51" s="946">
        <f t="shared" ref="I51:R51" si="13">I48+I49+I50</f>
        <v>-2022.1630000000002</v>
      </c>
      <c r="J51" s="946">
        <f t="shared" si="13"/>
        <v>-2178.558</v>
      </c>
      <c r="K51" s="946">
        <f t="shared" si="13"/>
        <v>48.648999999999887</v>
      </c>
      <c r="L51" s="946">
        <f t="shared" si="13"/>
        <v>168.61500000000021</v>
      </c>
      <c r="M51" s="946">
        <f t="shared" si="13"/>
        <v>64.275999999999428</v>
      </c>
      <c r="N51" s="946">
        <f t="shared" si="13"/>
        <v>4.862999999999829</v>
      </c>
      <c r="O51" s="946">
        <f t="shared" si="13"/>
        <v>37</v>
      </c>
      <c r="P51" s="946">
        <f t="shared" si="13"/>
        <v>17</v>
      </c>
      <c r="Q51" s="946">
        <f t="shared" si="13"/>
        <v>20</v>
      </c>
      <c r="R51" s="946">
        <f t="shared" si="13"/>
        <v>0</v>
      </c>
    </row>
    <row r="52" spans="1:18" x14ac:dyDescent="0.2">
      <c r="A52" s="830"/>
      <c r="C52" s="831"/>
      <c r="D52" s="831"/>
      <c r="E52" s="832"/>
      <c r="F52" s="830"/>
      <c r="G52" s="181" t="s">
        <v>119</v>
      </c>
      <c r="H52" s="950">
        <f>H30-H51</f>
        <v>-9.9999999952160579E-4</v>
      </c>
      <c r="I52" s="950">
        <f t="shared" ref="I52:R52" si="14">I30-I51</f>
        <v>1.0000000002037268E-3</v>
      </c>
      <c r="J52" s="950">
        <f t="shared" si="14"/>
        <v>0</v>
      </c>
      <c r="K52" s="950">
        <f t="shared" si="14"/>
        <v>1.1368683772161603E-13</v>
      </c>
      <c r="L52" s="950">
        <f t="shared" si="14"/>
        <v>-1.0000000002037268E-3</v>
      </c>
      <c r="M52" s="950">
        <f t="shared" si="14"/>
        <v>0.19600000000056639</v>
      </c>
      <c r="N52" s="950">
        <f t="shared" si="14"/>
        <v>0.13700000000017099</v>
      </c>
      <c r="O52" s="950">
        <f t="shared" si="14"/>
        <v>0</v>
      </c>
      <c r="P52" s="950">
        <f t="shared" si="14"/>
        <v>0</v>
      </c>
      <c r="Q52" s="950">
        <f t="shared" si="14"/>
        <v>0</v>
      </c>
      <c r="R52" s="950">
        <f t="shared" si="14"/>
        <v>0</v>
      </c>
    </row>
    <row r="53" spans="1:18" x14ac:dyDescent="0.2">
      <c r="G53" s="46" t="s">
        <v>120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">
      <c r="C54" s="811">
        <v>90</v>
      </c>
      <c r="E54" s="812" t="s">
        <v>14</v>
      </c>
      <c r="G54" s="46" t="s">
        <v>121</v>
      </c>
      <c r="H54" s="947">
        <v>111</v>
      </c>
      <c r="I54" s="947">
        <v>108</v>
      </c>
      <c r="J54" s="947">
        <v>110</v>
      </c>
      <c r="K54" s="947">
        <v>104</v>
      </c>
      <c r="L54" s="947">
        <v>107</v>
      </c>
      <c r="M54" s="947">
        <v>108</v>
      </c>
      <c r="N54" s="952">
        <v>110</v>
      </c>
      <c r="O54" s="952">
        <v>111</v>
      </c>
      <c r="P54" s="952">
        <v>111</v>
      </c>
      <c r="Q54" s="952">
        <v>111</v>
      </c>
      <c r="R54" s="952">
        <v>111</v>
      </c>
    </row>
    <row r="55" spans="1:18" x14ac:dyDescent="0.2">
      <c r="E55" s="812" t="s">
        <v>14</v>
      </c>
      <c r="G55" s="46" t="s">
        <v>122</v>
      </c>
      <c r="H55" s="947"/>
      <c r="I55" s="947"/>
      <c r="J55" s="947"/>
      <c r="K55" s="947"/>
      <c r="L55" s="953"/>
      <c r="M55" s="953"/>
      <c r="N55" s="953"/>
      <c r="O55" s="953"/>
      <c r="P55" s="953"/>
      <c r="Q55" s="953"/>
      <c r="R55" s="953"/>
    </row>
    <row r="57" spans="1:18" x14ac:dyDescent="0.2">
      <c r="D57" s="834" t="s">
        <v>123</v>
      </c>
      <c r="E57" s="835" t="s">
        <v>3</v>
      </c>
      <c r="F57" s="809"/>
      <c r="G57" s="804" t="s">
        <v>124</v>
      </c>
      <c r="H57" s="828">
        <f>H32</f>
        <v>2011</v>
      </c>
      <c r="I57" s="828">
        <f t="shared" ref="I57:R57" si="15">I32</f>
        <v>2012</v>
      </c>
      <c r="J57" s="828">
        <f t="shared" si="15"/>
        <v>2013</v>
      </c>
      <c r="K57" s="828">
        <f t="shared" si="15"/>
        <v>2014</v>
      </c>
      <c r="L57" s="828">
        <f t="shared" si="15"/>
        <v>2015</v>
      </c>
      <c r="M57" s="828">
        <f t="shared" si="15"/>
        <v>2016</v>
      </c>
      <c r="N57" s="828">
        <f t="shared" si="15"/>
        <v>2017</v>
      </c>
      <c r="O57" s="828">
        <f t="shared" si="15"/>
        <v>2018</v>
      </c>
      <c r="P57" s="828">
        <f t="shared" si="15"/>
        <v>2019</v>
      </c>
      <c r="Q57" s="828">
        <f t="shared" si="15"/>
        <v>2020</v>
      </c>
      <c r="R57" s="828">
        <f t="shared" si="15"/>
        <v>2021</v>
      </c>
    </row>
    <row r="58" spans="1:18" ht="11.25" customHeight="1" x14ac:dyDescent="0.2">
      <c r="B58" s="836" t="s">
        <v>125</v>
      </c>
      <c r="C58" s="808" t="s">
        <v>126</v>
      </c>
      <c r="D58" s="837" t="s">
        <v>127</v>
      </c>
      <c r="E58" s="812" t="s">
        <v>485</v>
      </c>
      <c r="F58" s="814"/>
      <c r="G58" s="806" t="s">
        <v>128</v>
      </c>
      <c r="H58" s="813">
        <v>-4.5469999999999997</v>
      </c>
      <c r="I58" s="813">
        <v>-66.533000000000001</v>
      </c>
      <c r="J58" s="813">
        <v>0</v>
      </c>
      <c r="K58" s="813">
        <v>0</v>
      </c>
      <c r="L58" s="813">
        <v>-64.853999999999999</v>
      </c>
      <c r="M58" s="813">
        <v>-35.847000000000001</v>
      </c>
      <c r="N58" s="813">
        <v>-100</v>
      </c>
      <c r="O58" s="813">
        <v>-55</v>
      </c>
      <c r="P58" s="813">
        <v>-55</v>
      </c>
      <c r="Q58" s="813">
        <v>-55</v>
      </c>
      <c r="R58" s="813">
        <v>-55</v>
      </c>
    </row>
    <row r="59" spans="1:18" x14ac:dyDescent="0.2">
      <c r="B59" s="836" t="s">
        <v>129</v>
      </c>
      <c r="C59" s="838" t="s">
        <v>130</v>
      </c>
      <c r="D59" s="837" t="s">
        <v>131</v>
      </c>
      <c r="E59" s="812" t="s">
        <v>14</v>
      </c>
      <c r="F59" s="814"/>
      <c r="G59" s="839" t="s">
        <v>132</v>
      </c>
      <c r="H59" s="813">
        <v>0</v>
      </c>
      <c r="I59" s="813">
        <v>0</v>
      </c>
      <c r="J59" s="813">
        <v>0.377</v>
      </c>
      <c r="K59" s="813">
        <v>0</v>
      </c>
      <c r="L59" s="813">
        <v>3.6669999999999998</v>
      </c>
      <c r="M59" s="813">
        <v>1.417</v>
      </c>
      <c r="N59" s="813">
        <v>2</v>
      </c>
      <c r="O59" s="813">
        <v>2</v>
      </c>
      <c r="P59" s="813">
        <v>2</v>
      </c>
      <c r="Q59" s="813">
        <v>2</v>
      </c>
      <c r="R59" s="813">
        <v>2</v>
      </c>
    </row>
    <row r="60" spans="1:18" x14ac:dyDescent="0.2">
      <c r="B60" s="836" t="s">
        <v>133</v>
      </c>
      <c r="C60" s="840" t="s">
        <v>134</v>
      </c>
      <c r="D60" s="837" t="s">
        <v>135</v>
      </c>
      <c r="E60" s="812" t="s">
        <v>14</v>
      </c>
      <c r="F60" s="814"/>
      <c r="G60" s="810" t="s">
        <v>136</v>
      </c>
      <c r="H60" s="813">
        <v>0</v>
      </c>
      <c r="I60" s="813">
        <v>0</v>
      </c>
      <c r="J60" s="813">
        <v>0</v>
      </c>
      <c r="K60" s="813">
        <v>55</v>
      </c>
      <c r="L60" s="813">
        <v>55</v>
      </c>
      <c r="M60" s="813">
        <v>55</v>
      </c>
      <c r="N60" s="813">
        <v>55</v>
      </c>
      <c r="O60" s="813">
        <v>55</v>
      </c>
      <c r="P60" s="813">
        <v>55</v>
      </c>
      <c r="Q60" s="813">
        <v>55</v>
      </c>
      <c r="R60" s="813">
        <v>55</v>
      </c>
    </row>
    <row r="61" spans="1:18" x14ac:dyDescent="0.2">
      <c r="B61" s="836" t="s">
        <v>137</v>
      </c>
      <c r="C61" s="840" t="s">
        <v>138</v>
      </c>
      <c r="D61" s="840" t="s">
        <v>139</v>
      </c>
      <c r="E61" s="812" t="s">
        <v>485</v>
      </c>
      <c r="F61" s="814"/>
      <c r="G61" s="810" t="s">
        <v>140</v>
      </c>
      <c r="H61" s="813">
        <v>0</v>
      </c>
      <c r="I61" s="813">
        <v>0</v>
      </c>
      <c r="J61" s="813">
        <v>0</v>
      </c>
      <c r="K61" s="813">
        <v>0</v>
      </c>
      <c r="L61" s="813">
        <v>0</v>
      </c>
      <c r="M61" s="813">
        <v>0</v>
      </c>
      <c r="N61" s="813">
        <v>0</v>
      </c>
      <c r="O61" s="813">
        <v>0</v>
      </c>
      <c r="P61" s="813">
        <v>0</v>
      </c>
      <c r="Q61" s="813">
        <v>0</v>
      </c>
      <c r="R61" s="813">
        <v>0</v>
      </c>
    </row>
    <row r="62" spans="1:18" x14ac:dyDescent="0.2">
      <c r="B62" s="836" t="s">
        <v>141</v>
      </c>
      <c r="C62" s="811">
        <v>253800</v>
      </c>
      <c r="D62" s="840" t="s">
        <v>135</v>
      </c>
      <c r="E62" s="812" t="s">
        <v>14</v>
      </c>
      <c r="F62" s="814"/>
      <c r="G62" s="810" t="s">
        <v>142</v>
      </c>
      <c r="H62" s="813">
        <v>0</v>
      </c>
      <c r="I62" s="813">
        <v>0</v>
      </c>
      <c r="J62" s="813">
        <v>0</v>
      </c>
      <c r="K62" s="813">
        <v>0</v>
      </c>
      <c r="L62" s="813">
        <v>0</v>
      </c>
      <c r="M62" s="813">
        <v>0</v>
      </c>
      <c r="N62" s="813">
        <v>0</v>
      </c>
      <c r="O62" s="813">
        <v>0</v>
      </c>
      <c r="P62" s="813">
        <v>0</v>
      </c>
      <c r="Q62" s="813">
        <v>0</v>
      </c>
      <c r="R62" s="813">
        <v>0</v>
      </c>
    </row>
    <row r="63" spans="1:18" x14ac:dyDescent="0.2">
      <c r="B63" s="836" t="s">
        <v>143</v>
      </c>
      <c r="C63" s="811">
        <v>150</v>
      </c>
      <c r="D63" s="840" t="s">
        <v>139</v>
      </c>
      <c r="E63" s="812" t="s">
        <v>485</v>
      </c>
      <c r="F63" s="814"/>
      <c r="G63" s="810" t="s">
        <v>144</v>
      </c>
      <c r="H63" s="813">
        <v>0</v>
      </c>
      <c r="I63" s="813">
        <v>0</v>
      </c>
      <c r="J63" s="813">
        <v>0</v>
      </c>
      <c r="K63" s="813">
        <v>0</v>
      </c>
      <c r="L63" s="813">
        <v>0</v>
      </c>
      <c r="M63" s="813">
        <v>0</v>
      </c>
      <c r="N63" s="813">
        <v>0</v>
      </c>
      <c r="O63" s="813">
        <v>0</v>
      </c>
      <c r="P63" s="813">
        <v>0</v>
      </c>
      <c r="Q63" s="813">
        <v>0</v>
      </c>
      <c r="R63" s="813">
        <v>0</v>
      </c>
    </row>
    <row r="64" spans="1:18" x14ac:dyDescent="0.2">
      <c r="B64" s="836" t="s">
        <v>145</v>
      </c>
      <c r="C64" s="840" t="s">
        <v>146</v>
      </c>
      <c r="D64" s="840" t="s">
        <v>135</v>
      </c>
      <c r="E64" s="812" t="s">
        <v>14</v>
      </c>
      <c r="F64" s="814"/>
      <c r="G64" s="810" t="s">
        <v>147</v>
      </c>
      <c r="H64" s="813">
        <v>0</v>
      </c>
      <c r="I64" s="813">
        <v>0</v>
      </c>
      <c r="J64" s="813">
        <v>0</v>
      </c>
      <c r="K64" s="813">
        <v>0</v>
      </c>
      <c r="L64" s="813">
        <v>0</v>
      </c>
      <c r="M64" s="813">
        <v>0</v>
      </c>
      <c r="N64" s="813">
        <v>0</v>
      </c>
      <c r="O64" s="813">
        <v>0</v>
      </c>
      <c r="P64" s="813">
        <v>0</v>
      </c>
      <c r="Q64" s="813">
        <v>0</v>
      </c>
      <c r="R64" s="813">
        <v>0</v>
      </c>
    </row>
    <row r="65" spans="2:18" x14ac:dyDescent="0.2">
      <c r="B65" s="836" t="s">
        <v>148</v>
      </c>
      <c r="C65" s="808" t="s">
        <v>149</v>
      </c>
      <c r="D65" s="840" t="s">
        <v>139</v>
      </c>
      <c r="E65" s="812" t="s">
        <v>485</v>
      </c>
      <c r="F65" s="814"/>
      <c r="G65" s="810" t="s">
        <v>150</v>
      </c>
      <c r="H65" s="813">
        <v>0</v>
      </c>
      <c r="I65" s="813">
        <v>0</v>
      </c>
      <c r="J65" s="813">
        <v>0</v>
      </c>
      <c r="K65" s="813">
        <v>0</v>
      </c>
      <c r="L65" s="813">
        <v>0</v>
      </c>
      <c r="M65" s="813">
        <v>0</v>
      </c>
      <c r="N65" s="813">
        <v>0</v>
      </c>
      <c r="O65" s="813">
        <v>0</v>
      </c>
      <c r="P65" s="813">
        <v>0</v>
      </c>
      <c r="Q65" s="813">
        <v>0</v>
      </c>
      <c r="R65" s="813">
        <v>0</v>
      </c>
    </row>
    <row r="66" spans="2:18" x14ac:dyDescent="0.2">
      <c r="B66" s="836" t="s">
        <v>151</v>
      </c>
      <c r="C66" s="808" t="s">
        <v>149</v>
      </c>
      <c r="D66" s="840" t="s">
        <v>135</v>
      </c>
      <c r="E66" s="812" t="s">
        <v>14</v>
      </c>
      <c r="F66" s="814"/>
      <c r="G66" s="810" t="s">
        <v>152</v>
      </c>
      <c r="H66" s="813">
        <v>0</v>
      </c>
      <c r="I66" s="813">
        <v>0</v>
      </c>
      <c r="J66" s="813">
        <v>0</v>
      </c>
      <c r="K66" s="813">
        <v>0</v>
      </c>
      <c r="L66" s="813">
        <v>0</v>
      </c>
      <c r="M66" s="813">
        <v>0</v>
      </c>
      <c r="N66" s="813">
        <v>0</v>
      </c>
      <c r="O66" s="813">
        <v>0</v>
      </c>
      <c r="P66" s="813">
        <v>0</v>
      </c>
      <c r="Q66" s="813">
        <v>0</v>
      </c>
      <c r="R66" s="813">
        <v>0</v>
      </c>
    </row>
    <row r="67" spans="2:18" x14ac:dyDescent="0.2">
      <c r="B67" s="836" t="s">
        <v>153</v>
      </c>
      <c r="C67" s="808" t="s">
        <v>154</v>
      </c>
      <c r="D67" s="840" t="s">
        <v>139</v>
      </c>
      <c r="E67" s="812" t="s">
        <v>485</v>
      </c>
      <c r="F67" s="814"/>
      <c r="G67" s="810" t="s">
        <v>155</v>
      </c>
      <c r="H67" s="813">
        <v>0</v>
      </c>
      <c r="I67" s="813">
        <v>0</v>
      </c>
      <c r="J67" s="813">
        <v>0</v>
      </c>
      <c r="K67" s="813">
        <v>0</v>
      </c>
      <c r="L67" s="813">
        <v>0</v>
      </c>
      <c r="M67" s="813">
        <v>0</v>
      </c>
      <c r="N67" s="813">
        <v>0</v>
      </c>
      <c r="O67" s="813">
        <v>0</v>
      </c>
      <c r="P67" s="813">
        <v>0</v>
      </c>
      <c r="Q67" s="813">
        <v>0</v>
      </c>
      <c r="R67" s="813">
        <v>0</v>
      </c>
    </row>
    <row r="68" spans="2:18" x14ac:dyDescent="0.2">
      <c r="B68" s="836" t="s">
        <v>156</v>
      </c>
      <c r="C68" s="808" t="s">
        <v>154</v>
      </c>
      <c r="D68" s="840" t="s">
        <v>135</v>
      </c>
      <c r="E68" s="812" t="s">
        <v>14</v>
      </c>
      <c r="F68" s="814"/>
      <c r="G68" s="810" t="s">
        <v>157</v>
      </c>
      <c r="H68" s="813">
        <v>0</v>
      </c>
      <c r="I68" s="813">
        <v>0</v>
      </c>
      <c r="J68" s="813">
        <v>0</v>
      </c>
      <c r="K68" s="813">
        <v>0</v>
      </c>
      <c r="L68" s="813">
        <v>0</v>
      </c>
      <c r="M68" s="813">
        <v>0</v>
      </c>
      <c r="N68" s="813">
        <v>0</v>
      </c>
      <c r="O68" s="813">
        <v>0</v>
      </c>
      <c r="P68" s="813">
        <v>0</v>
      </c>
      <c r="Q68" s="813">
        <v>0</v>
      </c>
      <c r="R68" s="813">
        <v>0</v>
      </c>
    </row>
    <row r="69" spans="2:18" x14ac:dyDescent="0.2">
      <c r="B69" s="836" t="s">
        <v>158</v>
      </c>
      <c r="C69" s="840" t="s">
        <v>146</v>
      </c>
      <c r="D69" s="840" t="s">
        <v>135</v>
      </c>
      <c r="E69" s="812" t="s">
        <v>14</v>
      </c>
      <c r="F69" s="814"/>
      <c r="G69" s="810" t="s">
        <v>159</v>
      </c>
      <c r="H69" s="813">
        <v>0</v>
      </c>
      <c r="I69" s="813">
        <v>0</v>
      </c>
      <c r="J69" s="813">
        <v>0</v>
      </c>
      <c r="K69" s="813">
        <v>0</v>
      </c>
      <c r="L69" s="813">
        <v>0</v>
      </c>
      <c r="M69" s="813">
        <v>0</v>
      </c>
      <c r="N69" s="813">
        <v>0</v>
      </c>
      <c r="O69" s="813">
        <v>0</v>
      </c>
      <c r="P69" s="813">
        <v>0</v>
      </c>
      <c r="Q69" s="813">
        <v>0</v>
      </c>
      <c r="R69" s="813">
        <v>0</v>
      </c>
    </row>
    <row r="70" spans="2:18" x14ac:dyDescent="0.2">
      <c r="B70" s="836" t="s">
        <v>160</v>
      </c>
      <c r="C70" s="841" t="s">
        <v>161</v>
      </c>
      <c r="D70" s="808"/>
      <c r="E70" s="812" t="s">
        <v>484</v>
      </c>
      <c r="F70" s="814"/>
      <c r="G70" s="810" t="s">
        <v>110</v>
      </c>
      <c r="H70" s="813">
        <v>0</v>
      </c>
      <c r="I70" s="813">
        <v>0</v>
      </c>
      <c r="J70" s="813">
        <v>-1E-3</v>
      </c>
      <c r="K70" s="813">
        <v>0</v>
      </c>
      <c r="L70" s="813">
        <v>1.1080000000000001</v>
      </c>
      <c r="M70" s="813">
        <v>0</v>
      </c>
      <c r="N70" s="813">
        <v>0</v>
      </c>
      <c r="O70" s="813">
        <v>0</v>
      </c>
      <c r="P70" s="813">
        <v>0</v>
      </c>
      <c r="Q70" s="813">
        <v>0</v>
      </c>
      <c r="R70" s="813">
        <v>0</v>
      </c>
    </row>
    <row r="71" spans="2:18" x14ac:dyDescent="0.2">
      <c r="B71" s="836" t="s">
        <v>162</v>
      </c>
      <c r="D71" s="808"/>
      <c r="E71" s="814"/>
      <c r="F71" s="814"/>
      <c r="G71" s="842" t="s">
        <v>163</v>
      </c>
      <c r="H71" s="807">
        <f t="shared" ref="H71:R71" si="16">SUM(H58:H70)</f>
        <v>-4.5469999999999997</v>
      </c>
      <c r="I71" s="807">
        <f t="shared" si="16"/>
        <v>-66.533000000000001</v>
      </c>
      <c r="J71" s="807">
        <f t="shared" si="16"/>
        <v>0.376</v>
      </c>
      <c r="K71" s="807">
        <f t="shared" si="16"/>
        <v>55</v>
      </c>
      <c r="L71" s="807">
        <f t="shared" si="16"/>
        <v>-5.0789999999999971</v>
      </c>
      <c r="M71" s="807">
        <f t="shared" si="16"/>
        <v>20.57</v>
      </c>
      <c r="N71" s="807">
        <f t="shared" si="16"/>
        <v>-43</v>
      </c>
      <c r="O71" s="807">
        <f t="shared" si="16"/>
        <v>2</v>
      </c>
      <c r="P71" s="807">
        <f t="shared" si="16"/>
        <v>2</v>
      </c>
      <c r="Q71" s="807">
        <f t="shared" si="16"/>
        <v>2</v>
      </c>
      <c r="R71" s="807">
        <f t="shared" si="16"/>
        <v>2</v>
      </c>
    </row>
    <row r="72" spans="2:18" x14ac:dyDescent="0.2">
      <c r="D72" s="808"/>
    </row>
    <row r="73" spans="2:18" x14ac:dyDescent="0.2">
      <c r="D73" s="834" t="s">
        <v>123</v>
      </c>
      <c r="E73" s="835" t="s">
        <v>3</v>
      </c>
      <c r="F73" s="809"/>
      <c r="G73" s="804" t="s">
        <v>164</v>
      </c>
      <c r="H73" s="828">
        <f t="shared" ref="H73:R73" si="17">H57</f>
        <v>2011</v>
      </c>
      <c r="I73" s="828">
        <f t="shared" si="17"/>
        <v>2012</v>
      </c>
      <c r="J73" s="828">
        <f t="shared" si="17"/>
        <v>2013</v>
      </c>
      <c r="K73" s="828">
        <f t="shared" si="17"/>
        <v>2014</v>
      </c>
      <c r="L73" s="828">
        <f t="shared" si="17"/>
        <v>2015</v>
      </c>
      <c r="M73" s="828">
        <f t="shared" si="17"/>
        <v>2016</v>
      </c>
      <c r="N73" s="828">
        <f t="shared" si="17"/>
        <v>2017</v>
      </c>
      <c r="O73" s="828">
        <f t="shared" si="17"/>
        <v>2018</v>
      </c>
      <c r="P73" s="828">
        <f t="shared" si="17"/>
        <v>2019</v>
      </c>
      <c r="Q73" s="828">
        <f t="shared" si="17"/>
        <v>2020</v>
      </c>
      <c r="R73" s="828">
        <f t="shared" si="17"/>
        <v>2021</v>
      </c>
    </row>
    <row r="74" spans="2:18" x14ac:dyDescent="0.2">
      <c r="B74" s="799" t="s">
        <v>165</v>
      </c>
      <c r="C74" s="840" t="s">
        <v>166</v>
      </c>
      <c r="D74" s="840" t="s">
        <v>131</v>
      </c>
      <c r="E74" s="812" t="s">
        <v>14</v>
      </c>
      <c r="G74" s="806" t="s">
        <v>167</v>
      </c>
      <c r="H74" s="813">
        <v>0</v>
      </c>
      <c r="I74" s="813">
        <v>0</v>
      </c>
      <c r="J74" s="813">
        <v>0</v>
      </c>
      <c r="K74" s="813">
        <v>0</v>
      </c>
      <c r="L74" s="813">
        <v>0</v>
      </c>
      <c r="M74" s="813">
        <v>0</v>
      </c>
      <c r="N74" s="813">
        <v>0</v>
      </c>
      <c r="O74" s="813">
        <v>0</v>
      </c>
      <c r="P74" s="813">
        <v>0</v>
      </c>
      <c r="Q74" s="813">
        <v>0</v>
      </c>
      <c r="R74" s="813">
        <v>0</v>
      </c>
    </row>
    <row r="75" spans="2:18" x14ac:dyDescent="0.2">
      <c r="B75" s="799" t="s">
        <v>168</v>
      </c>
      <c r="C75" s="840" t="s">
        <v>166</v>
      </c>
      <c r="D75" s="840" t="s">
        <v>127</v>
      </c>
      <c r="E75" s="812" t="s">
        <v>485</v>
      </c>
      <c r="F75" s="814"/>
      <c r="G75" s="810" t="s">
        <v>169</v>
      </c>
      <c r="H75" s="813">
        <v>0</v>
      </c>
      <c r="I75" s="813">
        <v>0</v>
      </c>
      <c r="J75" s="813">
        <v>0</v>
      </c>
      <c r="K75" s="813">
        <v>0</v>
      </c>
      <c r="L75" s="813">
        <v>0</v>
      </c>
      <c r="M75" s="813">
        <v>0</v>
      </c>
      <c r="N75" s="813">
        <v>0</v>
      </c>
      <c r="O75" s="813">
        <v>0</v>
      </c>
      <c r="P75" s="813">
        <v>0</v>
      </c>
      <c r="Q75" s="813">
        <v>0</v>
      </c>
      <c r="R75" s="813">
        <v>0</v>
      </c>
    </row>
    <row r="76" spans="2:18" x14ac:dyDescent="0.2">
      <c r="B76" s="799" t="s">
        <v>170</v>
      </c>
      <c r="C76" s="840" t="s">
        <v>171</v>
      </c>
      <c r="D76" s="840" t="s">
        <v>135</v>
      </c>
      <c r="E76" s="812" t="s">
        <v>14</v>
      </c>
      <c r="G76" s="810" t="s">
        <v>172</v>
      </c>
      <c r="H76" s="813">
        <v>0</v>
      </c>
      <c r="I76" s="813">
        <v>0</v>
      </c>
      <c r="J76" s="813">
        <v>0</v>
      </c>
      <c r="K76" s="813">
        <v>0</v>
      </c>
      <c r="L76" s="813">
        <v>0</v>
      </c>
      <c r="M76" s="813">
        <v>0</v>
      </c>
      <c r="N76" s="813">
        <v>0</v>
      </c>
      <c r="O76" s="813">
        <v>0</v>
      </c>
      <c r="P76" s="813">
        <v>0</v>
      </c>
      <c r="Q76" s="813">
        <v>0</v>
      </c>
      <c r="R76" s="813">
        <v>0</v>
      </c>
    </row>
    <row r="77" spans="2:18" x14ac:dyDescent="0.2">
      <c r="B77" s="799" t="s">
        <v>173</v>
      </c>
      <c r="C77" s="840" t="s">
        <v>171</v>
      </c>
      <c r="D77" s="840" t="s">
        <v>139</v>
      </c>
      <c r="E77" s="812" t="s">
        <v>485</v>
      </c>
      <c r="F77" s="814"/>
      <c r="G77" s="810" t="s">
        <v>174</v>
      </c>
      <c r="H77" s="813">
        <v>0</v>
      </c>
      <c r="I77" s="813">
        <v>0</v>
      </c>
      <c r="J77" s="813">
        <v>0</v>
      </c>
      <c r="K77" s="813">
        <v>0</v>
      </c>
      <c r="L77" s="813">
        <v>0</v>
      </c>
      <c r="M77" s="813">
        <v>0</v>
      </c>
      <c r="N77" s="813">
        <v>0</v>
      </c>
      <c r="O77" s="813">
        <v>0</v>
      </c>
      <c r="P77" s="813">
        <v>0</v>
      </c>
      <c r="Q77" s="813">
        <v>0</v>
      </c>
      <c r="R77" s="813">
        <v>0</v>
      </c>
    </row>
    <row r="78" spans="2:18" x14ac:dyDescent="0.2">
      <c r="B78" s="799" t="s">
        <v>175</v>
      </c>
      <c r="C78" s="840" t="s">
        <v>176</v>
      </c>
      <c r="D78" s="840" t="s">
        <v>139</v>
      </c>
      <c r="E78" s="812" t="s">
        <v>485</v>
      </c>
      <c r="F78" s="814"/>
      <c r="G78" s="810" t="s">
        <v>177</v>
      </c>
      <c r="H78" s="813">
        <v>0</v>
      </c>
      <c r="I78" s="813">
        <v>0</v>
      </c>
      <c r="J78" s="813">
        <v>0</v>
      </c>
      <c r="K78" s="813">
        <v>-5.4539999999999997</v>
      </c>
      <c r="L78" s="813">
        <v>0</v>
      </c>
      <c r="M78" s="813">
        <v>0</v>
      </c>
      <c r="N78" s="813">
        <v>0</v>
      </c>
      <c r="O78" s="813">
        <v>0</v>
      </c>
      <c r="P78" s="813">
        <v>0</v>
      </c>
      <c r="Q78" s="813">
        <v>0</v>
      </c>
      <c r="R78" s="813">
        <v>0</v>
      </c>
    </row>
    <row r="79" spans="2:18" x14ac:dyDescent="0.2">
      <c r="B79" s="799" t="s">
        <v>178</v>
      </c>
      <c r="C79" s="840" t="s">
        <v>179</v>
      </c>
      <c r="D79" s="840" t="s">
        <v>139</v>
      </c>
      <c r="E79" s="812" t="s">
        <v>485</v>
      </c>
      <c r="F79" s="814"/>
      <c r="G79" s="810" t="s">
        <v>180</v>
      </c>
      <c r="H79" s="813">
        <v>0</v>
      </c>
      <c r="I79" s="813">
        <v>0</v>
      </c>
      <c r="J79" s="813">
        <v>0</v>
      </c>
      <c r="K79" s="813">
        <v>-0.90100000000000002</v>
      </c>
      <c r="L79" s="813">
        <v>0</v>
      </c>
      <c r="M79" s="813">
        <v>0</v>
      </c>
      <c r="N79" s="813">
        <v>0</v>
      </c>
      <c r="O79" s="813">
        <v>0</v>
      </c>
      <c r="P79" s="813">
        <v>0</v>
      </c>
      <c r="Q79" s="813">
        <v>0</v>
      </c>
      <c r="R79" s="813">
        <v>0</v>
      </c>
    </row>
    <row r="80" spans="2:18" x14ac:dyDescent="0.2">
      <c r="B80" s="799" t="s">
        <v>181</v>
      </c>
      <c r="C80" s="840" t="s">
        <v>182</v>
      </c>
      <c r="D80" s="840" t="s">
        <v>139</v>
      </c>
      <c r="E80" s="812" t="s">
        <v>485</v>
      </c>
      <c r="F80" s="814"/>
      <c r="G80" s="810" t="s">
        <v>183</v>
      </c>
      <c r="H80" s="813">
        <v>0</v>
      </c>
      <c r="I80" s="813">
        <v>0</v>
      </c>
      <c r="J80" s="813">
        <v>0</v>
      </c>
      <c r="K80" s="813">
        <v>0</v>
      </c>
      <c r="L80" s="813">
        <v>0</v>
      </c>
      <c r="M80" s="813">
        <v>0</v>
      </c>
      <c r="N80" s="813">
        <v>0</v>
      </c>
      <c r="O80" s="813">
        <v>0</v>
      </c>
      <c r="P80" s="813">
        <v>0</v>
      </c>
      <c r="Q80" s="813">
        <v>0</v>
      </c>
      <c r="R80" s="813">
        <v>0</v>
      </c>
    </row>
    <row r="81" spans="1:18" x14ac:dyDescent="0.2">
      <c r="B81" s="799" t="s">
        <v>184</v>
      </c>
      <c r="C81" s="840" t="s">
        <v>55</v>
      </c>
      <c r="D81" s="840" t="s">
        <v>139</v>
      </c>
      <c r="E81" s="812" t="s">
        <v>485</v>
      </c>
      <c r="F81" s="814"/>
      <c r="G81" s="810" t="s">
        <v>185</v>
      </c>
      <c r="H81" s="813">
        <v>0</v>
      </c>
      <c r="I81" s="813">
        <v>0</v>
      </c>
      <c r="J81" s="813">
        <v>0</v>
      </c>
      <c r="K81" s="813">
        <v>0</v>
      </c>
      <c r="L81" s="813">
        <v>0</v>
      </c>
      <c r="M81" s="813">
        <v>0</v>
      </c>
      <c r="N81" s="813">
        <v>0</v>
      </c>
      <c r="O81" s="813">
        <v>0</v>
      </c>
      <c r="P81" s="813">
        <v>0</v>
      </c>
      <c r="Q81" s="813">
        <v>0</v>
      </c>
      <c r="R81" s="813">
        <v>0</v>
      </c>
    </row>
    <row r="82" spans="1:18" x14ac:dyDescent="0.2">
      <c r="B82" s="799" t="s">
        <v>186</v>
      </c>
      <c r="C82" s="840" t="s">
        <v>187</v>
      </c>
      <c r="D82" s="840" t="s">
        <v>135</v>
      </c>
      <c r="E82" s="812" t="s">
        <v>14</v>
      </c>
      <c r="G82" s="810" t="s">
        <v>188</v>
      </c>
      <c r="H82" s="813">
        <v>2002.9960000000001</v>
      </c>
      <c r="I82" s="813">
        <v>2061.0419999999999</v>
      </c>
      <c r="J82" s="813">
        <v>2246.5509999999999</v>
      </c>
      <c r="K82" s="813">
        <v>0</v>
      </c>
      <c r="L82" s="813">
        <v>0</v>
      </c>
      <c r="M82" s="813">
        <v>0</v>
      </c>
      <c r="N82" s="813">
        <v>0</v>
      </c>
      <c r="O82" s="813">
        <v>0</v>
      </c>
      <c r="P82" s="813">
        <v>0</v>
      </c>
      <c r="Q82" s="813">
        <v>0</v>
      </c>
      <c r="R82" s="813">
        <v>0</v>
      </c>
    </row>
    <row r="83" spans="1:18" x14ac:dyDescent="0.2">
      <c r="B83" s="799" t="s">
        <v>189</v>
      </c>
      <c r="C83" s="840" t="s">
        <v>187</v>
      </c>
      <c r="D83" s="840" t="s">
        <v>139</v>
      </c>
      <c r="E83" s="812" t="s">
        <v>485</v>
      </c>
      <c r="F83" s="814"/>
      <c r="G83" s="810" t="s">
        <v>190</v>
      </c>
      <c r="H83" s="813">
        <v>0</v>
      </c>
      <c r="I83" s="813">
        <v>0</v>
      </c>
      <c r="J83" s="813">
        <v>0</v>
      </c>
      <c r="K83" s="813">
        <v>0</v>
      </c>
      <c r="L83" s="813">
        <v>0</v>
      </c>
      <c r="M83" s="813">
        <v>0</v>
      </c>
      <c r="N83" s="813">
        <v>0</v>
      </c>
      <c r="O83" s="813">
        <v>0</v>
      </c>
      <c r="P83" s="813">
        <v>0</v>
      </c>
      <c r="Q83" s="813">
        <v>0</v>
      </c>
      <c r="R83" s="813">
        <v>0</v>
      </c>
    </row>
    <row r="84" spans="1:18" x14ac:dyDescent="0.2">
      <c r="B84" s="799" t="s">
        <v>191</v>
      </c>
      <c r="C84" s="844">
        <v>68</v>
      </c>
      <c r="D84" s="840" t="s">
        <v>139</v>
      </c>
      <c r="E84" s="812" t="s">
        <v>485</v>
      </c>
      <c r="F84" s="814"/>
      <c r="G84" s="845" t="s">
        <v>114</v>
      </c>
      <c r="H84" s="813">
        <v>0</v>
      </c>
      <c r="I84" s="813">
        <v>0</v>
      </c>
      <c r="J84" s="813">
        <v>0</v>
      </c>
      <c r="K84" s="813">
        <v>0</v>
      </c>
      <c r="L84" s="813">
        <v>0</v>
      </c>
      <c r="M84" s="813">
        <v>0</v>
      </c>
      <c r="N84" s="813">
        <v>0</v>
      </c>
      <c r="O84" s="813">
        <v>0</v>
      </c>
      <c r="P84" s="813">
        <v>0</v>
      </c>
      <c r="Q84" s="813">
        <v>0</v>
      </c>
      <c r="R84" s="813">
        <v>0</v>
      </c>
    </row>
    <row r="85" spans="1:18" x14ac:dyDescent="0.2">
      <c r="B85" s="799" t="s">
        <v>192</v>
      </c>
      <c r="G85" s="845" t="s">
        <v>163</v>
      </c>
      <c r="H85" s="807">
        <f t="shared" ref="H85:R85" si="18">SUM(H74:H84)</f>
        <v>2002.9960000000001</v>
      </c>
      <c r="I85" s="807">
        <f t="shared" si="18"/>
        <v>2061.0419999999999</v>
      </c>
      <c r="J85" s="807">
        <f t="shared" si="18"/>
        <v>2246.5509999999999</v>
      </c>
      <c r="K85" s="807">
        <f t="shared" si="18"/>
        <v>-6.3549999999999995</v>
      </c>
      <c r="L85" s="807">
        <f t="shared" si="18"/>
        <v>0</v>
      </c>
      <c r="M85" s="807">
        <f t="shared" si="18"/>
        <v>0</v>
      </c>
      <c r="N85" s="807">
        <f t="shared" si="18"/>
        <v>0</v>
      </c>
      <c r="O85" s="807">
        <f t="shared" si="18"/>
        <v>0</v>
      </c>
      <c r="P85" s="807">
        <f t="shared" si="18"/>
        <v>0</v>
      </c>
      <c r="Q85" s="807">
        <f t="shared" si="18"/>
        <v>0</v>
      </c>
      <c r="R85" s="807">
        <f t="shared" si="18"/>
        <v>0</v>
      </c>
    </row>
    <row r="87" spans="1:18" x14ac:dyDescent="0.2">
      <c r="A87" s="815" t="s">
        <v>0</v>
      </c>
      <c r="D87" s="1223" t="s">
        <v>193</v>
      </c>
      <c r="E87" s="1224"/>
      <c r="G87" s="804" t="s">
        <v>194</v>
      </c>
      <c r="H87" s="828">
        <f t="shared" ref="H87:R87" si="19">H32</f>
        <v>2011</v>
      </c>
      <c r="I87" s="828">
        <f t="shared" si="19"/>
        <v>2012</v>
      </c>
      <c r="J87" s="828">
        <f t="shared" si="19"/>
        <v>2013</v>
      </c>
      <c r="K87" s="828">
        <f t="shared" si="19"/>
        <v>2014</v>
      </c>
      <c r="L87" s="828">
        <f t="shared" si="19"/>
        <v>2015</v>
      </c>
      <c r="M87" s="828">
        <f t="shared" si="19"/>
        <v>2016</v>
      </c>
      <c r="N87" s="828">
        <f t="shared" si="19"/>
        <v>2017</v>
      </c>
      <c r="O87" s="828">
        <f t="shared" si="19"/>
        <v>2018</v>
      </c>
      <c r="P87" s="828">
        <f t="shared" si="19"/>
        <v>2019</v>
      </c>
      <c r="Q87" s="828">
        <f t="shared" si="19"/>
        <v>2020</v>
      </c>
      <c r="R87" s="828">
        <f t="shared" si="19"/>
        <v>2021</v>
      </c>
    </row>
    <row r="88" spans="1:18" x14ac:dyDescent="0.2">
      <c r="A88" s="808" t="s">
        <v>195</v>
      </c>
      <c r="B88" s="799" t="s">
        <v>196</v>
      </c>
      <c r="C88" s="808" t="s">
        <v>197</v>
      </c>
      <c r="E88" s="846"/>
      <c r="G88" s="806" t="s">
        <v>198</v>
      </c>
      <c r="H88" s="807">
        <f>H46+H71</f>
        <v>-2005.5510000000006</v>
      </c>
      <c r="I88" s="807">
        <f t="shared" ref="I88:R88" si="20">I46+I71</f>
        <v>-2088.6960000000004</v>
      </c>
      <c r="J88" s="807">
        <f t="shared" si="20"/>
        <v>-2178.1809999999996</v>
      </c>
      <c r="K88" s="807">
        <f t="shared" si="20"/>
        <v>103.64899999999989</v>
      </c>
      <c r="L88" s="807">
        <f t="shared" si="20"/>
        <v>161.52700000000021</v>
      </c>
      <c r="M88" s="807">
        <f t="shared" si="20"/>
        <v>83.180999999999415</v>
      </c>
      <c r="N88" s="807">
        <f t="shared" si="20"/>
        <v>-40.137000000000171</v>
      </c>
      <c r="O88" s="807">
        <f t="shared" si="20"/>
        <v>39</v>
      </c>
      <c r="P88" s="807">
        <f t="shared" si="20"/>
        <v>19</v>
      </c>
      <c r="Q88" s="807">
        <f t="shared" si="20"/>
        <v>22</v>
      </c>
      <c r="R88" s="807">
        <f t="shared" si="20"/>
        <v>2</v>
      </c>
    </row>
    <row r="89" spans="1:18" x14ac:dyDescent="0.2">
      <c r="A89" s="808" t="s">
        <v>199</v>
      </c>
      <c r="B89" s="799" t="s">
        <v>200</v>
      </c>
      <c r="C89" s="840" t="s">
        <v>201</v>
      </c>
      <c r="E89" s="846"/>
      <c r="G89" s="806" t="s">
        <v>202</v>
      </c>
      <c r="H89" s="847">
        <f t="shared" ref="H89:R89" si="21">H33+H38+H41-H45</f>
        <v>-1983.1770000000006</v>
      </c>
      <c r="I89" s="807">
        <f t="shared" si="21"/>
        <v>-2003.0270000000003</v>
      </c>
      <c r="J89" s="807">
        <f t="shared" si="21"/>
        <v>-2158.9259999999999</v>
      </c>
      <c r="K89" s="807">
        <f t="shared" si="21"/>
        <v>63.791999999999888</v>
      </c>
      <c r="L89" s="807">
        <f t="shared" si="21"/>
        <v>182.92400000000023</v>
      </c>
      <c r="M89" s="807">
        <f t="shared" si="21"/>
        <v>105.43299999999942</v>
      </c>
      <c r="N89" s="807">
        <f t="shared" si="21"/>
        <v>19.170999999999829</v>
      </c>
      <c r="O89" s="807">
        <f t="shared" si="21"/>
        <v>54</v>
      </c>
      <c r="P89" s="807">
        <f t="shared" si="21"/>
        <v>25</v>
      </c>
      <c r="Q89" s="807">
        <f t="shared" si="21"/>
        <v>30</v>
      </c>
      <c r="R89" s="807">
        <f t="shared" si="21"/>
        <v>10</v>
      </c>
    </row>
    <row r="90" spans="1:18" x14ac:dyDescent="0.2">
      <c r="A90" s="808" t="s">
        <v>203</v>
      </c>
      <c r="B90" s="799" t="s">
        <v>204</v>
      </c>
      <c r="C90" s="808" t="s">
        <v>205</v>
      </c>
      <c r="E90" s="848">
        <v>0</v>
      </c>
      <c r="G90" s="845" t="s">
        <v>206</v>
      </c>
      <c r="H90" s="849">
        <f t="shared" ref="H90:R90" si="22">H89/H33</f>
        <v>-12.969739974363675</v>
      </c>
      <c r="I90" s="850">
        <f t="shared" si="22"/>
        <v>-7.2626332945369647</v>
      </c>
      <c r="J90" s="850">
        <f t="shared" si="22"/>
        <v>-5.2412565851763739</v>
      </c>
      <c r="K90" s="850">
        <f t="shared" si="22"/>
        <v>2.6540554101466649E-2</v>
      </c>
      <c r="L90" s="850">
        <f t="shared" si="22"/>
        <v>6.1032525500841532E-2</v>
      </c>
      <c r="M90" s="850">
        <f t="shared" si="22"/>
        <v>3.4095454855610011E-2</v>
      </c>
      <c r="N90" s="850">
        <f t="shared" si="22"/>
        <v>6.5567771205381374E-3</v>
      </c>
      <c r="O90" s="850">
        <f t="shared" si="22"/>
        <v>1.8274111675126905E-2</v>
      </c>
      <c r="P90" s="850">
        <f t="shared" si="22"/>
        <v>8.3472454090150246E-3</v>
      </c>
      <c r="Q90" s="850">
        <f t="shared" si="22"/>
        <v>9.9173553719008271E-3</v>
      </c>
      <c r="R90" s="850">
        <f t="shared" si="22"/>
        <v>3.3057851239669421E-3</v>
      </c>
    </row>
    <row r="91" spans="1:18" x14ac:dyDescent="0.2">
      <c r="A91" s="808" t="s">
        <v>207</v>
      </c>
      <c r="B91" s="799" t="s">
        <v>208</v>
      </c>
      <c r="C91" s="840" t="s">
        <v>209</v>
      </c>
      <c r="E91" s="846"/>
      <c r="G91" s="810" t="s">
        <v>210</v>
      </c>
      <c r="H91" s="851">
        <f t="shared" ref="H91:R91" si="23">-H33/(H38+H41)</f>
        <v>7.0990829708920303E-2</v>
      </c>
      <c r="I91" s="851">
        <f t="shared" si="23"/>
        <v>0.12001895592703445</v>
      </c>
      <c r="J91" s="851">
        <f t="shared" si="23"/>
        <v>0.15900993913452668</v>
      </c>
      <c r="K91" s="851">
        <f t="shared" si="23"/>
        <v>1.0206584687874483</v>
      </c>
      <c r="L91" s="851">
        <f t="shared" si="23"/>
        <v>1.0588599388811362</v>
      </c>
      <c r="M91" s="851">
        <f t="shared" si="23"/>
        <v>1.0206658925469965</v>
      </c>
      <c r="N91" s="851">
        <f t="shared" si="23"/>
        <v>1.0009801498263255</v>
      </c>
      <c r="O91" s="851">
        <f t="shared" si="23"/>
        <v>1.0126799177518848</v>
      </c>
      <c r="P91" s="851">
        <f t="shared" si="23"/>
        <v>1.0057085292142378</v>
      </c>
      <c r="Q91" s="851">
        <f t="shared" si="23"/>
        <v>1.0066555740432612</v>
      </c>
      <c r="R91" s="851">
        <f t="shared" si="23"/>
        <v>1</v>
      </c>
    </row>
    <row r="92" spans="1:18" x14ac:dyDescent="0.2">
      <c r="A92" s="808" t="s">
        <v>211</v>
      </c>
      <c r="B92" s="799" t="s">
        <v>212</v>
      </c>
      <c r="C92" s="808" t="s">
        <v>213</v>
      </c>
      <c r="E92" s="846"/>
      <c r="G92" s="806" t="s">
        <v>214</v>
      </c>
      <c r="H92" s="847">
        <f>H46</f>
        <v>-2001.0040000000006</v>
      </c>
      <c r="I92" s="847">
        <f t="shared" ref="I92:R92" si="24">I46</f>
        <v>-2022.1630000000002</v>
      </c>
      <c r="J92" s="847">
        <f t="shared" si="24"/>
        <v>-2178.5569999999998</v>
      </c>
      <c r="K92" s="847">
        <f t="shared" si="24"/>
        <v>48.648999999999887</v>
      </c>
      <c r="L92" s="847">
        <f t="shared" si="24"/>
        <v>166.60600000000022</v>
      </c>
      <c r="M92" s="847">
        <f t="shared" si="24"/>
        <v>62.610999999999422</v>
      </c>
      <c r="N92" s="847">
        <f t="shared" si="24"/>
        <v>2.862999999999829</v>
      </c>
      <c r="O92" s="847">
        <f t="shared" si="24"/>
        <v>37</v>
      </c>
      <c r="P92" s="847">
        <f t="shared" si="24"/>
        <v>17</v>
      </c>
      <c r="Q92" s="847">
        <f t="shared" si="24"/>
        <v>20</v>
      </c>
      <c r="R92" s="847">
        <f t="shared" si="24"/>
        <v>0</v>
      </c>
    </row>
    <row r="93" spans="1:18" x14ac:dyDescent="0.2">
      <c r="A93" s="808" t="s">
        <v>215</v>
      </c>
      <c r="B93" s="799" t="s">
        <v>216</v>
      </c>
      <c r="C93" s="808" t="s">
        <v>217</v>
      </c>
      <c r="D93" s="848">
        <v>-0.3</v>
      </c>
      <c r="E93" s="848">
        <v>0</v>
      </c>
      <c r="G93" s="810" t="s">
        <v>218</v>
      </c>
      <c r="H93" s="852">
        <f>H46/H33</f>
        <v>-13.086326418500018</v>
      </c>
      <c r="I93" s="853">
        <f t="shared" ref="I93:R93" si="25">I46/I33</f>
        <v>-7.3320171574226176</v>
      </c>
      <c r="J93" s="853">
        <f t="shared" si="25"/>
        <v>-5.2889150542594257</v>
      </c>
      <c r="K93" s="853">
        <f t="shared" si="25"/>
        <v>2.0240334469561236E-2</v>
      </c>
      <c r="L93" s="853">
        <f t="shared" si="25"/>
        <v>5.558803078651902E-2</v>
      </c>
      <c r="M93" s="853">
        <f t="shared" si="25"/>
        <v>2.0247460699824443E-2</v>
      </c>
      <c r="N93" s="853">
        <f t="shared" si="25"/>
        <v>9.791900733451429E-4</v>
      </c>
      <c r="O93" s="853">
        <f t="shared" si="25"/>
        <v>1.2521150592216581E-2</v>
      </c>
      <c r="P93" s="853">
        <f t="shared" si="25"/>
        <v>5.6761268781302171E-3</v>
      </c>
      <c r="Q93" s="853">
        <f t="shared" si="25"/>
        <v>6.6115702479338841E-3</v>
      </c>
      <c r="R93" s="853">
        <f t="shared" si="25"/>
        <v>0</v>
      </c>
    </row>
    <row r="94" spans="1:18" x14ac:dyDescent="0.2">
      <c r="A94" s="808" t="s">
        <v>219</v>
      </c>
      <c r="B94" s="799" t="s">
        <v>220</v>
      </c>
      <c r="C94" s="808" t="s">
        <v>221</v>
      </c>
      <c r="E94" s="846"/>
      <c r="G94" s="845" t="s">
        <v>222</v>
      </c>
      <c r="H94" s="847">
        <f>H29+H30</f>
        <v>0</v>
      </c>
      <c r="I94" s="847">
        <f t="shared" ref="I94:R94" si="26">I29+I30</f>
        <v>0</v>
      </c>
      <c r="J94" s="847">
        <f t="shared" si="26"/>
        <v>0</v>
      </c>
      <c r="K94" s="847">
        <f t="shared" si="26"/>
        <v>-4.4570000000000007</v>
      </c>
      <c r="L94" s="847">
        <f t="shared" si="26"/>
        <v>164.15700000000001</v>
      </c>
      <c r="M94" s="847">
        <f t="shared" si="26"/>
        <v>228.63</v>
      </c>
      <c r="N94" s="847">
        <f t="shared" si="26"/>
        <v>233</v>
      </c>
      <c r="O94" s="847">
        <f t="shared" si="26"/>
        <v>270</v>
      </c>
      <c r="P94" s="847">
        <f t="shared" si="26"/>
        <v>287</v>
      </c>
      <c r="Q94" s="847">
        <f t="shared" si="26"/>
        <v>307</v>
      </c>
      <c r="R94" s="847">
        <f t="shared" si="26"/>
        <v>307</v>
      </c>
    </row>
    <row r="95" spans="1:18" x14ac:dyDescent="0.2">
      <c r="G95" s="854" t="s">
        <v>223</v>
      </c>
      <c r="H95" s="828">
        <f t="shared" ref="H95:R95" si="27">H87</f>
        <v>2011</v>
      </c>
      <c r="I95" s="828">
        <f t="shared" si="27"/>
        <v>2012</v>
      </c>
      <c r="J95" s="828">
        <f t="shared" si="27"/>
        <v>2013</v>
      </c>
      <c r="K95" s="828">
        <f t="shared" si="27"/>
        <v>2014</v>
      </c>
      <c r="L95" s="828">
        <f t="shared" si="27"/>
        <v>2015</v>
      </c>
      <c r="M95" s="828">
        <f t="shared" si="27"/>
        <v>2016</v>
      </c>
      <c r="N95" s="828">
        <f t="shared" si="27"/>
        <v>2017</v>
      </c>
      <c r="O95" s="828">
        <f t="shared" si="27"/>
        <v>2018</v>
      </c>
      <c r="P95" s="828">
        <f t="shared" si="27"/>
        <v>2019</v>
      </c>
      <c r="Q95" s="828">
        <f t="shared" si="27"/>
        <v>2020</v>
      </c>
      <c r="R95" s="828">
        <f t="shared" si="27"/>
        <v>2021</v>
      </c>
    </row>
    <row r="96" spans="1:18" x14ac:dyDescent="0.2">
      <c r="A96" s="840" t="s">
        <v>224</v>
      </c>
      <c r="B96" s="799" t="s">
        <v>225</v>
      </c>
      <c r="C96" s="811" t="s">
        <v>226</v>
      </c>
      <c r="E96" s="846"/>
      <c r="F96" s="855"/>
      <c r="G96" s="806" t="s">
        <v>227</v>
      </c>
      <c r="H96" s="847">
        <f t="shared" ref="H96:R96" si="28">H6+H12</f>
        <v>0</v>
      </c>
      <c r="I96" s="807">
        <f t="shared" si="28"/>
        <v>4.3999999999999997E-2</v>
      </c>
      <c r="J96" s="807">
        <f t="shared" si="28"/>
        <v>1.94</v>
      </c>
      <c r="K96" s="807">
        <f t="shared" si="28"/>
        <v>239.845</v>
      </c>
      <c r="L96" s="807">
        <f t="shared" si="28"/>
        <v>346.72699999999998</v>
      </c>
      <c r="M96" s="807">
        <f t="shared" si="28"/>
        <v>433.24900000000002</v>
      </c>
      <c r="N96" s="807">
        <f t="shared" si="28"/>
        <v>320</v>
      </c>
      <c r="O96" s="807">
        <f t="shared" si="28"/>
        <v>280</v>
      </c>
      <c r="P96" s="807">
        <f t="shared" si="28"/>
        <v>280</v>
      </c>
      <c r="Q96" s="807">
        <f t="shared" si="28"/>
        <v>220</v>
      </c>
      <c r="R96" s="807">
        <f t="shared" si="28"/>
        <v>220</v>
      </c>
    </row>
    <row r="97" spans="1:19" x14ac:dyDescent="0.2">
      <c r="A97" s="808" t="s">
        <v>228</v>
      </c>
      <c r="B97" s="799" t="s">
        <v>229</v>
      </c>
      <c r="C97" s="808" t="s">
        <v>45</v>
      </c>
      <c r="E97" s="846"/>
      <c r="F97" s="855"/>
      <c r="G97" s="810" t="s">
        <v>230</v>
      </c>
      <c r="H97" s="847">
        <f>H19</f>
        <v>238.65299999999999</v>
      </c>
      <c r="I97" s="847">
        <f t="shared" ref="I97:R97" si="29">I19</f>
        <v>230.101</v>
      </c>
      <c r="J97" s="847">
        <f t="shared" si="29"/>
        <v>186.077</v>
      </c>
      <c r="K97" s="847">
        <f t="shared" si="29"/>
        <v>241.405</v>
      </c>
      <c r="L97" s="847">
        <f t="shared" si="29"/>
        <v>267.96899999999999</v>
      </c>
      <c r="M97" s="847">
        <f t="shared" si="29"/>
        <v>289.41000000000003</v>
      </c>
      <c r="N97" s="847">
        <f t="shared" si="29"/>
        <v>194</v>
      </c>
      <c r="O97" s="847">
        <f t="shared" si="29"/>
        <v>145</v>
      </c>
      <c r="P97" s="847">
        <f t="shared" si="29"/>
        <v>193</v>
      </c>
      <c r="Q97" s="847">
        <f t="shared" si="29"/>
        <v>160</v>
      </c>
      <c r="R97" s="847">
        <f t="shared" si="29"/>
        <v>187</v>
      </c>
    </row>
    <row r="98" spans="1:19" x14ac:dyDescent="0.2">
      <c r="A98" s="808" t="s">
        <v>231</v>
      </c>
      <c r="B98" s="799" t="s">
        <v>232</v>
      </c>
      <c r="C98" s="808" t="s">
        <v>233</v>
      </c>
      <c r="E98" s="846"/>
      <c r="F98" s="855"/>
      <c r="G98" s="810" t="s">
        <v>234</v>
      </c>
      <c r="H98" s="847">
        <f t="shared" ref="H98:R98" si="30">H97-H96</f>
        <v>238.65299999999999</v>
      </c>
      <c r="I98" s="807">
        <f t="shared" si="30"/>
        <v>230.05699999999999</v>
      </c>
      <c r="J98" s="807">
        <f t="shared" si="30"/>
        <v>184.137</v>
      </c>
      <c r="K98" s="807">
        <f t="shared" si="30"/>
        <v>1.5600000000000023</v>
      </c>
      <c r="L98" s="807">
        <f t="shared" si="30"/>
        <v>-78.757999999999981</v>
      </c>
      <c r="M98" s="807">
        <f t="shared" si="30"/>
        <v>-143.839</v>
      </c>
      <c r="N98" s="807">
        <f t="shared" si="30"/>
        <v>-126</v>
      </c>
      <c r="O98" s="807">
        <f t="shared" si="30"/>
        <v>-135</v>
      </c>
      <c r="P98" s="807">
        <f t="shared" si="30"/>
        <v>-87</v>
      </c>
      <c r="Q98" s="807">
        <f t="shared" si="30"/>
        <v>-60</v>
      </c>
      <c r="R98" s="807">
        <f t="shared" si="30"/>
        <v>-33</v>
      </c>
    </row>
    <row r="99" spans="1:19" x14ac:dyDescent="0.2">
      <c r="A99" s="840" t="s">
        <v>235</v>
      </c>
      <c r="B99" s="799" t="s">
        <v>236</v>
      </c>
      <c r="C99" s="808" t="s">
        <v>237</v>
      </c>
      <c r="E99" s="848">
        <v>0.4</v>
      </c>
      <c r="F99" s="855"/>
      <c r="G99" s="810" t="s">
        <v>486</v>
      </c>
      <c r="H99" s="856">
        <f t="shared" ref="H99:R99" si="31">H98/H33</f>
        <v>1.5607620268396685</v>
      </c>
      <c r="I99" s="850">
        <f t="shared" si="31"/>
        <v>0.83414733193376334</v>
      </c>
      <c r="J99" s="850">
        <f t="shared" si="31"/>
        <v>0.44703211866669906</v>
      </c>
      <c r="K99" s="850">
        <f t="shared" si="31"/>
        <v>6.4903537117958529E-4</v>
      </c>
      <c r="L99" s="850">
        <f t="shared" si="31"/>
        <v>-2.6277577810430944E-2</v>
      </c>
      <c r="M99" s="850">
        <f t="shared" si="31"/>
        <v>-4.6515380677549872E-2</v>
      </c>
      <c r="N99" s="850">
        <f t="shared" si="31"/>
        <v>-4.3093939658224022E-2</v>
      </c>
      <c r="O99" s="850">
        <f t="shared" si="31"/>
        <v>-4.5685279187817257E-2</v>
      </c>
      <c r="P99" s="850">
        <f t="shared" si="31"/>
        <v>-2.9048414023372288E-2</v>
      </c>
      <c r="Q99" s="850">
        <f t="shared" si="31"/>
        <v>-1.9834710743801654E-2</v>
      </c>
      <c r="R99" s="850">
        <f t="shared" si="31"/>
        <v>-1.090909090909091E-2</v>
      </c>
    </row>
    <row r="100" spans="1:19" x14ac:dyDescent="0.2">
      <c r="A100" s="808" t="s">
        <v>239</v>
      </c>
      <c r="B100" s="799" t="s">
        <v>240</v>
      </c>
      <c r="C100" s="808" t="s">
        <v>241</v>
      </c>
      <c r="D100" s="857">
        <v>0</v>
      </c>
      <c r="E100" s="857">
        <v>5</v>
      </c>
      <c r="F100" s="855"/>
      <c r="G100" s="810" t="s">
        <v>242</v>
      </c>
      <c r="H100" s="851">
        <f t="shared" ref="H100:R100" si="32">H98/H89</f>
        <v>-0.12033872922084106</v>
      </c>
      <c r="I100" s="851">
        <f t="shared" si="32"/>
        <v>-0.11485466746079806</v>
      </c>
      <c r="J100" s="851">
        <f t="shared" si="32"/>
        <v>-8.5291019701462675E-2</v>
      </c>
      <c r="K100" s="851">
        <f t="shared" si="32"/>
        <v>2.4454477050413925E-2</v>
      </c>
      <c r="L100" s="851">
        <f t="shared" si="32"/>
        <v>-0.43055039251273686</v>
      </c>
      <c r="M100" s="851">
        <f t="shared" si="32"/>
        <v>-1.3642692515626111</v>
      </c>
      <c r="N100" s="851">
        <f t="shared" si="32"/>
        <v>-6.5724271034375423</v>
      </c>
      <c r="O100" s="851">
        <f t="shared" si="32"/>
        <v>-2.5</v>
      </c>
      <c r="P100" s="851">
        <f t="shared" si="32"/>
        <v>-3.48</v>
      </c>
      <c r="Q100" s="851">
        <f t="shared" si="32"/>
        <v>-2</v>
      </c>
      <c r="R100" s="851">
        <f t="shared" si="32"/>
        <v>-3.3</v>
      </c>
    </row>
    <row r="101" spans="1:19" x14ac:dyDescent="0.2">
      <c r="A101" s="808" t="s">
        <v>243</v>
      </c>
      <c r="B101" s="799" t="s">
        <v>244</v>
      </c>
      <c r="C101" s="808" t="s">
        <v>245</v>
      </c>
      <c r="E101" s="846"/>
      <c r="F101" s="855"/>
      <c r="G101" s="810" t="s">
        <v>246</v>
      </c>
      <c r="H101" s="847">
        <f t="shared" ref="H101:R101" si="33">-(H75+H77+H78+H79+H80+H81)</f>
        <v>0</v>
      </c>
      <c r="I101" s="847">
        <f t="shared" si="33"/>
        <v>0</v>
      </c>
      <c r="J101" s="847">
        <f t="shared" si="33"/>
        <v>0</v>
      </c>
      <c r="K101" s="847">
        <f t="shared" si="33"/>
        <v>6.3549999999999995</v>
      </c>
      <c r="L101" s="847">
        <f t="shared" si="33"/>
        <v>0</v>
      </c>
      <c r="M101" s="847">
        <f t="shared" si="33"/>
        <v>0</v>
      </c>
      <c r="N101" s="847">
        <f t="shared" si="33"/>
        <v>0</v>
      </c>
      <c r="O101" s="847">
        <f t="shared" si="33"/>
        <v>0</v>
      </c>
      <c r="P101" s="847">
        <f t="shared" si="33"/>
        <v>0</v>
      </c>
      <c r="Q101" s="847">
        <f t="shared" si="33"/>
        <v>0</v>
      </c>
      <c r="R101" s="847">
        <f t="shared" si="33"/>
        <v>0</v>
      </c>
    </row>
    <row r="102" spans="1:19" x14ac:dyDescent="0.2">
      <c r="A102" s="808" t="s">
        <v>247</v>
      </c>
      <c r="B102" s="799" t="s">
        <v>248</v>
      </c>
      <c r="C102" s="808" t="s">
        <v>249</v>
      </c>
      <c r="E102" s="857">
        <v>1.2</v>
      </c>
      <c r="F102" s="855"/>
      <c r="G102" s="810" t="s">
        <v>250</v>
      </c>
      <c r="H102" s="858" t="e">
        <f t="shared" ref="H102:R102" si="34">H89/H101</f>
        <v>#DIV/0!</v>
      </c>
      <c r="I102" s="851" t="e">
        <f t="shared" si="34"/>
        <v>#DIV/0!</v>
      </c>
      <c r="J102" s="851" t="e">
        <f t="shared" si="34"/>
        <v>#DIV/0!</v>
      </c>
      <c r="K102" s="851">
        <f t="shared" si="34"/>
        <v>10.038080251770243</v>
      </c>
      <c r="L102" s="851" t="e">
        <f t="shared" si="34"/>
        <v>#DIV/0!</v>
      </c>
      <c r="M102" s="851" t="e">
        <f t="shared" si="34"/>
        <v>#DIV/0!</v>
      </c>
      <c r="N102" s="851" t="e">
        <f t="shared" si="34"/>
        <v>#DIV/0!</v>
      </c>
      <c r="O102" s="851" t="e">
        <f t="shared" si="34"/>
        <v>#DIV/0!</v>
      </c>
      <c r="P102" s="851" t="e">
        <f t="shared" si="34"/>
        <v>#DIV/0!</v>
      </c>
      <c r="Q102" s="851" t="e">
        <f t="shared" si="34"/>
        <v>#DIV/0!</v>
      </c>
      <c r="R102" s="851" t="e">
        <f t="shared" si="34"/>
        <v>#DIV/0!</v>
      </c>
    </row>
    <row r="103" spans="1:19" x14ac:dyDescent="0.2">
      <c r="A103" s="859" t="s">
        <v>251</v>
      </c>
      <c r="B103" s="799" t="s">
        <v>252</v>
      </c>
      <c r="C103" s="808" t="s">
        <v>253</v>
      </c>
      <c r="E103" s="857">
        <v>0</v>
      </c>
      <c r="F103" s="855"/>
      <c r="G103" s="806" t="s">
        <v>254</v>
      </c>
      <c r="H103" s="847">
        <f t="shared" ref="H103:R103" si="35">H5-H20</f>
        <v>-211.29499999999999</v>
      </c>
      <c r="I103" s="847">
        <f t="shared" si="35"/>
        <v>-218.81100000000001</v>
      </c>
      <c r="J103" s="847">
        <f t="shared" si="35"/>
        <v>-131.18700000000001</v>
      </c>
      <c r="K103" s="847">
        <f t="shared" si="35"/>
        <v>20.489999999999981</v>
      </c>
      <c r="L103" s="847">
        <f t="shared" si="35"/>
        <v>141.834</v>
      </c>
      <c r="M103" s="847">
        <f t="shared" si="35"/>
        <v>215.19799999999998</v>
      </c>
      <c r="N103" s="847">
        <f t="shared" si="35"/>
        <v>181</v>
      </c>
      <c r="O103" s="847">
        <f t="shared" si="35"/>
        <v>190</v>
      </c>
      <c r="P103" s="847">
        <f t="shared" si="35"/>
        <v>142</v>
      </c>
      <c r="Q103" s="847">
        <f t="shared" si="35"/>
        <v>115</v>
      </c>
      <c r="R103" s="847">
        <f t="shared" si="35"/>
        <v>68</v>
      </c>
    </row>
    <row r="104" spans="1:19" x14ac:dyDescent="0.2">
      <c r="A104" s="840" t="s">
        <v>255</v>
      </c>
      <c r="B104" s="799" t="s">
        <v>256</v>
      </c>
      <c r="C104" s="808" t="s">
        <v>257</v>
      </c>
      <c r="E104" s="857">
        <v>1</v>
      </c>
      <c r="F104" s="855"/>
      <c r="G104" s="810" t="s">
        <v>258</v>
      </c>
      <c r="H104" s="858">
        <f t="shared" ref="H104:R104" si="36">H5/H20</f>
        <v>0.11463505591800649</v>
      </c>
      <c r="I104" s="858">
        <f t="shared" si="36"/>
        <v>4.9065410406734442E-2</v>
      </c>
      <c r="J104" s="858">
        <f t="shared" si="36"/>
        <v>0.29498540926605654</v>
      </c>
      <c r="K104" s="858">
        <f t="shared" si="36"/>
        <v>1.0848781094012137</v>
      </c>
      <c r="L104" s="858">
        <f t="shared" si="36"/>
        <v>1.5292925674238438</v>
      </c>
      <c r="M104" s="858">
        <f t="shared" si="36"/>
        <v>1.7435748591962958</v>
      </c>
      <c r="N104" s="858">
        <f t="shared" si="36"/>
        <v>1.9329896907216495</v>
      </c>
      <c r="O104" s="858">
        <f t="shared" si="36"/>
        <v>2.4074074074074074</v>
      </c>
      <c r="P104" s="858">
        <f t="shared" si="36"/>
        <v>1.7357512953367875</v>
      </c>
      <c r="Q104" s="858">
        <f t="shared" si="36"/>
        <v>1.71875</v>
      </c>
      <c r="R104" s="858">
        <f t="shared" si="36"/>
        <v>1.3636363636363635</v>
      </c>
      <c r="S104" s="801" t="s">
        <v>487</v>
      </c>
    </row>
    <row r="105" spans="1:19" x14ac:dyDescent="0.2">
      <c r="A105" s="840" t="s">
        <v>259</v>
      </c>
      <c r="B105" s="799" t="s">
        <v>260</v>
      </c>
      <c r="C105" s="840" t="s">
        <v>261</v>
      </c>
      <c r="E105" s="857">
        <v>1</v>
      </c>
      <c r="F105" s="855"/>
      <c r="G105" s="845" t="s">
        <v>262</v>
      </c>
      <c r="H105" s="858">
        <f t="shared" ref="H105:R105" si="37">-H6/((H38+H41-H45+H47)/12)</f>
        <v>0</v>
      </c>
      <c r="I105" s="858">
        <f t="shared" si="37"/>
        <v>2.316982516436094E-4</v>
      </c>
      <c r="J105" s="858">
        <f t="shared" si="37"/>
        <v>9.055416582225943E-3</v>
      </c>
      <c r="K105" s="858">
        <f t="shared" si="37"/>
        <v>1.2300926371125427</v>
      </c>
      <c r="L105" s="858">
        <f t="shared" si="37"/>
        <v>1.4795142490478173</v>
      </c>
      <c r="M105" s="858">
        <f t="shared" si="37"/>
        <v>1.7415930839936204</v>
      </c>
      <c r="N105" s="858">
        <f t="shared" si="37"/>
        <v>1.3229181093019746</v>
      </c>
      <c r="O105" s="858">
        <f t="shared" si="37"/>
        <v>1.1582213029989659</v>
      </c>
      <c r="P105" s="858">
        <f t="shared" si="37"/>
        <v>1.1313131313131313</v>
      </c>
      <c r="Q105" s="858">
        <f t="shared" si="37"/>
        <v>0.88146911519198656</v>
      </c>
      <c r="R105" s="858">
        <f t="shared" si="37"/>
        <v>0.87562189054726369</v>
      </c>
    </row>
    <row r="106" spans="1:19" x14ac:dyDescent="0.2">
      <c r="C106" s="808"/>
      <c r="F106" s="855"/>
      <c r="G106" s="854" t="s">
        <v>263</v>
      </c>
      <c r="H106" s="828">
        <f t="shared" ref="H106:R106" si="38">H95</f>
        <v>2011</v>
      </c>
      <c r="I106" s="828">
        <f t="shared" si="38"/>
        <v>2012</v>
      </c>
      <c r="J106" s="828">
        <f t="shared" si="38"/>
        <v>2013</v>
      </c>
      <c r="K106" s="828">
        <f t="shared" si="38"/>
        <v>2014</v>
      </c>
      <c r="L106" s="828">
        <f t="shared" si="38"/>
        <v>2015</v>
      </c>
      <c r="M106" s="828">
        <f t="shared" si="38"/>
        <v>2016</v>
      </c>
      <c r="N106" s="828">
        <f t="shared" si="38"/>
        <v>2017</v>
      </c>
      <c r="O106" s="828">
        <f t="shared" si="38"/>
        <v>2018</v>
      </c>
      <c r="P106" s="828">
        <f t="shared" si="38"/>
        <v>2019</v>
      </c>
      <c r="Q106" s="828">
        <f t="shared" si="38"/>
        <v>2020</v>
      </c>
      <c r="R106" s="828">
        <f t="shared" si="38"/>
        <v>2021</v>
      </c>
    </row>
    <row r="107" spans="1:19" x14ac:dyDescent="0.2">
      <c r="A107" s="840" t="s">
        <v>264</v>
      </c>
      <c r="B107" s="799" t="s">
        <v>265</v>
      </c>
      <c r="C107" s="840" t="s">
        <v>266</v>
      </c>
      <c r="E107" s="848">
        <v>0.6</v>
      </c>
      <c r="F107" s="855"/>
      <c r="G107" s="806" t="s">
        <v>267</v>
      </c>
      <c r="H107" s="856">
        <f t="shared" ref="H107:R107" si="39">H17/H4</f>
        <v>0</v>
      </c>
      <c r="I107" s="856">
        <f t="shared" si="39"/>
        <v>0</v>
      </c>
      <c r="J107" s="856">
        <f t="shared" si="39"/>
        <v>0</v>
      </c>
      <c r="K107" s="856">
        <f t="shared" si="39"/>
        <v>0</v>
      </c>
      <c r="L107" s="856">
        <f t="shared" si="39"/>
        <v>0</v>
      </c>
      <c r="M107" s="856">
        <f t="shared" si="39"/>
        <v>0</v>
      </c>
      <c r="N107" s="856">
        <f t="shared" si="39"/>
        <v>0</v>
      </c>
      <c r="O107" s="856">
        <f t="shared" si="39"/>
        <v>0</v>
      </c>
      <c r="P107" s="856">
        <f t="shared" si="39"/>
        <v>0</v>
      </c>
      <c r="Q107" s="856">
        <f t="shared" si="39"/>
        <v>0</v>
      </c>
      <c r="R107" s="856">
        <f t="shared" si="39"/>
        <v>0</v>
      </c>
    </row>
    <row r="108" spans="1:19" x14ac:dyDescent="0.2">
      <c r="A108" s="840" t="s">
        <v>268</v>
      </c>
      <c r="B108" s="799" t="s">
        <v>269</v>
      </c>
      <c r="C108" s="840" t="s">
        <v>270</v>
      </c>
      <c r="E108" s="848">
        <v>0.4</v>
      </c>
      <c r="F108" s="855"/>
      <c r="G108" s="845" t="s">
        <v>271</v>
      </c>
      <c r="H108" s="856" t="e">
        <f t="shared" ref="H108:R108" si="40">H27/H17</f>
        <v>#DIV/0!</v>
      </c>
      <c r="I108" s="856" t="e">
        <f t="shared" si="40"/>
        <v>#DIV/0!</v>
      </c>
      <c r="J108" s="856" t="e">
        <f t="shared" si="40"/>
        <v>#DIV/0!</v>
      </c>
      <c r="K108" s="856" t="e">
        <f t="shared" si="40"/>
        <v>#DIV/0!</v>
      </c>
      <c r="L108" s="856" t="e">
        <f t="shared" si="40"/>
        <v>#DIV/0!</v>
      </c>
      <c r="M108" s="856" t="e">
        <f t="shared" si="40"/>
        <v>#DIV/0!</v>
      </c>
      <c r="N108" s="856" t="e">
        <f t="shared" si="40"/>
        <v>#DIV/0!</v>
      </c>
      <c r="O108" s="856" t="e">
        <f t="shared" si="40"/>
        <v>#DIV/0!</v>
      </c>
      <c r="P108" s="856" t="e">
        <f t="shared" si="40"/>
        <v>#DIV/0!</v>
      </c>
      <c r="Q108" s="856" t="e">
        <f t="shared" si="40"/>
        <v>#DIV/0!</v>
      </c>
      <c r="R108" s="856" t="e">
        <f t="shared" si="40"/>
        <v>#DIV/0!</v>
      </c>
    </row>
    <row r="109" spans="1:19" x14ac:dyDescent="0.2">
      <c r="C109" s="808"/>
      <c r="F109" s="855"/>
      <c r="G109" s="860" t="s">
        <v>272</v>
      </c>
      <c r="H109" s="828">
        <f t="shared" ref="H109:R109" si="41">H95</f>
        <v>2011</v>
      </c>
      <c r="I109" s="828">
        <f t="shared" si="41"/>
        <v>2012</v>
      </c>
      <c r="J109" s="828">
        <f t="shared" si="41"/>
        <v>2013</v>
      </c>
      <c r="K109" s="828">
        <f t="shared" si="41"/>
        <v>2014</v>
      </c>
      <c r="L109" s="828">
        <f t="shared" si="41"/>
        <v>2015</v>
      </c>
      <c r="M109" s="828">
        <f t="shared" si="41"/>
        <v>2016</v>
      </c>
      <c r="N109" s="828">
        <f t="shared" si="41"/>
        <v>2017</v>
      </c>
      <c r="O109" s="828">
        <f t="shared" si="41"/>
        <v>2018</v>
      </c>
      <c r="P109" s="828">
        <f t="shared" si="41"/>
        <v>2019</v>
      </c>
      <c r="Q109" s="828">
        <f t="shared" si="41"/>
        <v>2020</v>
      </c>
      <c r="R109" s="828">
        <f t="shared" si="41"/>
        <v>2021</v>
      </c>
    </row>
    <row r="110" spans="1:19" x14ac:dyDescent="0.2">
      <c r="A110" s="840" t="s">
        <v>273</v>
      </c>
      <c r="B110" s="799" t="s">
        <v>274</v>
      </c>
      <c r="C110" s="861" t="s">
        <v>275</v>
      </c>
      <c r="E110" s="846"/>
      <c r="F110" s="855"/>
      <c r="G110" s="810" t="s">
        <v>276</v>
      </c>
      <c r="H110" s="862">
        <f t="shared" ref="H110:R110" si="42">H10/H4</f>
        <v>0.90111578178821483</v>
      </c>
      <c r="I110" s="862">
        <f t="shared" si="42"/>
        <v>0.96340949602981685</v>
      </c>
      <c r="J110" s="862">
        <f t="shared" si="42"/>
        <v>0.83492722242271145</v>
      </c>
      <c r="K110" s="862">
        <f t="shared" si="42"/>
        <v>0.49906275702454056</v>
      </c>
      <c r="L110" s="862">
        <f t="shared" si="42"/>
        <v>0.42923419332913637</v>
      </c>
      <c r="M110" s="862">
        <f t="shared" si="42"/>
        <v>0.37230081813556642</v>
      </c>
      <c r="N110" s="862">
        <f t="shared" si="42"/>
        <v>0.47405329593267881</v>
      </c>
      <c r="O110" s="862">
        <f t="shared" si="42"/>
        <v>0.53637660485021399</v>
      </c>
      <c r="P110" s="862">
        <f t="shared" si="42"/>
        <v>0.56265861784457283</v>
      </c>
      <c r="Q110" s="862">
        <f t="shared" si="42"/>
        <v>0.6347941567065073</v>
      </c>
      <c r="R110" s="862">
        <f t="shared" si="42"/>
        <v>0.67307692307692313</v>
      </c>
    </row>
    <row r="111" spans="1:19" x14ac:dyDescent="0.2">
      <c r="A111" s="840" t="s">
        <v>277</v>
      </c>
      <c r="B111" s="799" t="s">
        <v>278</v>
      </c>
      <c r="C111" s="861" t="s">
        <v>279</v>
      </c>
      <c r="E111" s="846"/>
      <c r="F111" s="855"/>
      <c r="G111" s="810" t="s">
        <v>280</v>
      </c>
      <c r="H111" s="862">
        <f t="shared" ref="H111:R111" si="43">-(H58)/H15</f>
        <v>1.8238410967915317E-2</v>
      </c>
      <c r="I111" s="862">
        <f t="shared" si="43"/>
        <v>0.22382089753078113</v>
      </c>
      <c r="J111" s="862">
        <f t="shared" si="43"/>
        <v>0</v>
      </c>
      <c r="K111" s="862">
        <f t="shared" si="43"/>
        <v>0</v>
      </c>
      <c r="L111" s="862">
        <f t="shared" si="43"/>
        <v>0.2104385352953583</v>
      </c>
      <c r="M111" s="862">
        <f t="shared" si="43"/>
        <v>0.11977226330051154</v>
      </c>
      <c r="N111" s="862">
        <f t="shared" si="43"/>
        <v>0.29585798816568049</v>
      </c>
      <c r="O111" s="862">
        <f t="shared" si="43"/>
        <v>0.14627659574468085</v>
      </c>
      <c r="P111" s="862">
        <f t="shared" si="43"/>
        <v>0.12761257749563795</v>
      </c>
      <c r="Q111" s="862">
        <f t="shared" si="43"/>
        <v>0.11506276150627615</v>
      </c>
      <c r="R111" s="862">
        <f t="shared" si="43"/>
        <v>0.10476190476190476</v>
      </c>
    </row>
    <row r="112" spans="1:19" x14ac:dyDescent="0.2">
      <c r="A112" s="840" t="s">
        <v>281</v>
      </c>
      <c r="B112" s="799" t="s">
        <v>282</v>
      </c>
      <c r="C112" s="808" t="s">
        <v>283</v>
      </c>
      <c r="E112" s="846"/>
      <c r="F112" s="855"/>
      <c r="G112" s="806" t="s">
        <v>284</v>
      </c>
      <c r="H112" s="851">
        <f t="shared" ref="H112:R112" si="44">H33/H4</f>
        <v>0.55267885219415402</v>
      </c>
      <c r="I112" s="851">
        <f t="shared" si="44"/>
        <v>0.8938551288283908</v>
      </c>
      <c r="J112" s="851">
        <f t="shared" si="44"/>
        <v>1.2387525562372188</v>
      </c>
      <c r="K112" s="851">
        <f t="shared" si="44"/>
        <v>4.5974005852986748</v>
      </c>
      <c r="L112" s="851">
        <f t="shared" si="44"/>
        <v>4.1743817445416918</v>
      </c>
      <c r="M112" s="851">
        <f t="shared" si="44"/>
        <v>3.8466042460452212</v>
      </c>
      <c r="N112" s="851">
        <f t="shared" si="44"/>
        <v>4.1007643758765777</v>
      </c>
      <c r="O112" s="851">
        <f t="shared" si="44"/>
        <v>4.2154065620542083</v>
      </c>
      <c r="P112" s="851">
        <f t="shared" si="44"/>
        <v>3.9099625061358343</v>
      </c>
      <c r="Q112" s="851">
        <f t="shared" si="44"/>
        <v>4.0172642762284196</v>
      </c>
      <c r="R112" s="851">
        <f t="shared" si="44"/>
        <v>3.8782051282051282</v>
      </c>
    </row>
    <row r="113" spans="1:19" x14ac:dyDescent="0.2">
      <c r="A113" s="840" t="s">
        <v>285</v>
      </c>
      <c r="B113" s="799" t="s">
        <v>286</v>
      </c>
      <c r="C113" s="861" t="s">
        <v>287</v>
      </c>
      <c r="E113" s="846"/>
      <c r="F113" s="855"/>
      <c r="G113" s="845" t="s">
        <v>288</v>
      </c>
      <c r="H113" s="851">
        <f t="shared" ref="H113:R113" si="45">H33/H15</f>
        <v>0.61332723648163523</v>
      </c>
      <c r="I113" s="851">
        <f t="shared" si="45"/>
        <v>0.92780394267644484</v>
      </c>
      <c r="J113" s="851">
        <f t="shared" si="45"/>
        <v>1.4836653099448907</v>
      </c>
      <c r="K113" s="851">
        <f t="shared" si="45"/>
        <v>9.2120690646379089</v>
      </c>
      <c r="L113" s="851">
        <f t="shared" si="45"/>
        <v>9.7251845482421277</v>
      </c>
      <c r="M113" s="851">
        <f t="shared" si="45"/>
        <v>10.331979030582071</v>
      </c>
      <c r="N113" s="851">
        <f t="shared" si="45"/>
        <v>8.6504289940828389</v>
      </c>
      <c r="O113" s="851">
        <f t="shared" si="45"/>
        <v>7.8590425531914896</v>
      </c>
      <c r="P113" s="851">
        <f t="shared" si="45"/>
        <v>6.9490849018079217</v>
      </c>
      <c r="Q113" s="851">
        <f t="shared" si="45"/>
        <v>6.3284518828451883</v>
      </c>
      <c r="R113" s="851">
        <f t="shared" si="45"/>
        <v>5.7619047619047619</v>
      </c>
    </row>
    <row r="114" spans="1:19" x14ac:dyDescent="0.2">
      <c r="A114" s="808" t="s">
        <v>289</v>
      </c>
      <c r="B114" s="799" t="s">
        <v>290</v>
      </c>
      <c r="C114" s="861" t="s">
        <v>291</v>
      </c>
      <c r="D114" s="848">
        <v>0.5</v>
      </c>
      <c r="E114" s="848">
        <f>1/3</f>
        <v>0.33333333333333331</v>
      </c>
      <c r="F114" s="855"/>
      <c r="G114" s="810" t="s">
        <v>292</v>
      </c>
      <c r="H114" s="862">
        <f t="shared" ref="H114:R114" si="46">H27/H4</f>
        <v>0.13739983445803042</v>
      </c>
      <c r="I114" s="862">
        <f t="shared" si="46"/>
        <v>0.25425052665694325</v>
      </c>
      <c r="J114" s="862">
        <f t="shared" si="46"/>
        <v>0.44040057740887772</v>
      </c>
      <c r="K114" s="862">
        <f t="shared" si="46"/>
        <v>0.53825290258411285</v>
      </c>
      <c r="L114" s="862">
        <f t="shared" si="46"/>
        <v>0.62677649208621866</v>
      </c>
      <c r="M114" s="862">
        <f t="shared" si="46"/>
        <v>0.63999298421074224</v>
      </c>
      <c r="N114" s="862">
        <f t="shared" si="46"/>
        <v>0.72791023842917246</v>
      </c>
      <c r="O114" s="862">
        <f t="shared" si="46"/>
        <v>0.7931526390870185</v>
      </c>
      <c r="P114" s="862">
        <f t="shared" si="46"/>
        <v>0.74804958798525312</v>
      </c>
      <c r="Q114" s="862">
        <f t="shared" si="46"/>
        <v>0.78751660026560422</v>
      </c>
      <c r="R114" s="862">
        <f t="shared" si="46"/>
        <v>0.76025641025641022</v>
      </c>
    </row>
    <row r="115" spans="1:19" x14ac:dyDescent="0.2">
      <c r="A115" s="863"/>
      <c r="C115" s="863"/>
      <c r="D115" s="864"/>
      <c r="E115" s="865"/>
      <c r="F115" s="855"/>
      <c r="G115" s="804" t="s">
        <v>293</v>
      </c>
      <c r="H115" s="828">
        <f t="shared" ref="H115:R115" si="47">H109</f>
        <v>2011</v>
      </c>
      <c r="I115" s="828">
        <f t="shared" si="47"/>
        <v>2012</v>
      </c>
      <c r="J115" s="828">
        <f t="shared" si="47"/>
        <v>2013</v>
      </c>
      <c r="K115" s="828">
        <f t="shared" si="47"/>
        <v>2014</v>
      </c>
      <c r="L115" s="828">
        <f t="shared" si="47"/>
        <v>2015</v>
      </c>
      <c r="M115" s="828">
        <f t="shared" si="47"/>
        <v>2016</v>
      </c>
      <c r="N115" s="828">
        <f t="shared" si="47"/>
        <v>2017</v>
      </c>
      <c r="O115" s="828">
        <f t="shared" si="47"/>
        <v>2018</v>
      </c>
      <c r="P115" s="828">
        <f t="shared" si="47"/>
        <v>2019</v>
      </c>
      <c r="Q115" s="828">
        <f t="shared" si="47"/>
        <v>2020</v>
      </c>
      <c r="R115" s="828">
        <f t="shared" si="47"/>
        <v>2021</v>
      </c>
    </row>
    <row r="116" spans="1:19" x14ac:dyDescent="0.2">
      <c r="A116" s="808" t="s">
        <v>294</v>
      </c>
      <c r="B116" s="799" t="s">
        <v>295</v>
      </c>
      <c r="C116" s="808" t="s">
        <v>296</v>
      </c>
      <c r="D116" s="866"/>
      <c r="E116" s="848">
        <v>0.05</v>
      </c>
      <c r="G116" s="806" t="s">
        <v>297</v>
      </c>
      <c r="H116" s="850">
        <f t="shared" ref="H116:R116" si="48">H35/H33</f>
        <v>0.9326653935699899</v>
      </c>
      <c r="I116" s="850">
        <f t="shared" si="48"/>
        <v>0.93292216432981989</v>
      </c>
      <c r="J116" s="850">
        <f t="shared" si="48"/>
        <v>0.94319147386565028</v>
      </c>
      <c r="K116" s="850">
        <f t="shared" si="48"/>
        <v>0.11100418669419242</v>
      </c>
      <c r="L116" s="850">
        <f t="shared" si="48"/>
        <v>0.11578242840879818</v>
      </c>
      <c r="M116" s="850">
        <f t="shared" si="48"/>
        <v>0.14340380216726187</v>
      </c>
      <c r="N116" s="850">
        <f t="shared" si="48"/>
        <v>8.1728682608004186E-2</v>
      </c>
      <c r="O116" s="850">
        <f t="shared" si="48"/>
        <v>9.8138747884940772E-2</v>
      </c>
      <c r="P116" s="850">
        <f t="shared" si="48"/>
        <v>0.10350584307178631</v>
      </c>
      <c r="Q116" s="850">
        <f t="shared" si="48"/>
        <v>0.10909090909090909</v>
      </c>
      <c r="R116" s="850">
        <f t="shared" si="48"/>
        <v>0.10909090909090909</v>
      </c>
    </row>
    <row r="117" spans="1:19" x14ac:dyDescent="0.2">
      <c r="A117" s="808" t="s">
        <v>298</v>
      </c>
      <c r="B117" s="799" t="s">
        <v>299</v>
      </c>
      <c r="C117" s="808" t="s">
        <v>300</v>
      </c>
      <c r="E117" s="848">
        <v>0.95</v>
      </c>
      <c r="G117" s="810" t="s">
        <v>301</v>
      </c>
      <c r="H117" s="862">
        <f t="shared" ref="H117:R117" si="49">(H36+H34)/H33</f>
        <v>6.7334606430010199E-2</v>
      </c>
      <c r="I117" s="862">
        <f t="shared" si="49"/>
        <v>6.7077835670180094E-2</v>
      </c>
      <c r="J117" s="862">
        <f t="shared" si="49"/>
        <v>5.6808526134349738E-2</v>
      </c>
      <c r="K117" s="862">
        <f t="shared" si="49"/>
        <v>0.88899581330580757</v>
      </c>
      <c r="L117" s="862">
        <f t="shared" si="49"/>
        <v>0.88095080803268155</v>
      </c>
      <c r="M117" s="862">
        <f t="shared" si="49"/>
        <v>0.85659619783273822</v>
      </c>
      <c r="N117" s="862">
        <f t="shared" si="49"/>
        <v>0.91827131739199586</v>
      </c>
      <c r="O117" s="862">
        <f t="shared" si="49"/>
        <v>0.90186125211505919</v>
      </c>
      <c r="P117" s="862">
        <f t="shared" si="49"/>
        <v>0.89649415692821366</v>
      </c>
      <c r="Q117" s="862">
        <f t="shared" si="49"/>
        <v>0.89090909090909087</v>
      </c>
      <c r="R117" s="862">
        <f t="shared" si="49"/>
        <v>0.89090909090909087</v>
      </c>
    </row>
    <row r="118" spans="1:19" x14ac:dyDescent="0.2">
      <c r="A118" s="808" t="s">
        <v>302</v>
      </c>
      <c r="B118" s="799" t="s">
        <v>303</v>
      </c>
      <c r="C118" s="808" t="s">
        <v>304</v>
      </c>
      <c r="E118" s="848">
        <v>0.95</v>
      </c>
      <c r="G118" s="845" t="s">
        <v>305</v>
      </c>
      <c r="H118" s="850">
        <f t="shared" ref="H118:R118" si="50">H38/(H38+H41)</f>
        <v>5.9426754667785853E-5</v>
      </c>
      <c r="I118" s="850">
        <f t="shared" si="50"/>
        <v>5.5701530312511685E-5</v>
      </c>
      <c r="J118" s="850">
        <f t="shared" si="50"/>
        <v>4.9411940009272459E-5</v>
      </c>
      <c r="K118" s="850">
        <f t="shared" si="50"/>
        <v>0</v>
      </c>
      <c r="L118" s="850">
        <f t="shared" si="50"/>
        <v>0</v>
      </c>
      <c r="M118" s="850">
        <f t="shared" si="50"/>
        <v>0</v>
      </c>
      <c r="N118" s="850">
        <f t="shared" si="50"/>
        <v>0</v>
      </c>
      <c r="O118" s="850">
        <f t="shared" si="50"/>
        <v>0</v>
      </c>
      <c r="P118" s="850">
        <f t="shared" si="50"/>
        <v>0</v>
      </c>
      <c r="Q118" s="850">
        <f t="shared" si="50"/>
        <v>0</v>
      </c>
      <c r="R118" s="850">
        <f t="shared" si="50"/>
        <v>0</v>
      </c>
    </row>
    <row r="119" spans="1:19" x14ac:dyDescent="0.2">
      <c r="A119" s="863"/>
      <c r="C119" s="864"/>
      <c r="D119" s="864"/>
      <c r="E119" s="865"/>
      <c r="F119" s="855"/>
      <c r="G119" s="804" t="s">
        <v>306</v>
      </c>
      <c r="H119" s="828">
        <f>H115</f>
        <v>2011</v>
      </c>
      <c r="I119" s="828">
        <f t="shared" ref="I119:R119" si="51">I115</f>
        <v>2012</v>
      </c>
      <c r="J119" s="828">
        <f t="shared" si="51"/>
        <v>2013</v>
      </c>
      <c r="K119" s="828">
        <f t="shared" si="51"/>
        <v>2014</v>
      </c>
      <c r="L119" s="828">
        <f t="shared" si="51"/>
        <v>2015</v>
      </c>
      <c r="M119" s="828">
        <f t="shared" si="51"/>
        <v>2016</v>
      </c>
      <c r="N119" s="828">
        <f t="shared" si="51"/>
        <v>2017</v>
      </c>
      <c r="O119" s="828">
        <f t="shared" si="51"/>
        <v>2018</v>
      </c>
      <c r="P119" s="828">
        <f t="shared" si="51"/>
        <v>2019</v>
      </c>
      <c r="Q119" s="828">
        <f t="shared" si="51"/>
        <v>2020</v>
      </c>
      <c r="R119" s="828">
        <f t="shared" si="51"/>
        <v>2021</v>
      </c>
    </row>
    <row r="120" spans="1:19" x14ac:dyDescent="0.2">
      <c r="A120" s="801" t="s">
        <v>307</v>
      </c>
      <c r="B120" s="799" t="s">
        <v>308</v>
      </c>
      <c r="C120" s="808" t="s">
        <v>309</v>
      </c>
      <c r="D120" s="867">
        <v>0.5</v>
      </c>
      <c r="E120" s="868" t="s">
        <v>310</v>
      </c>
      <c r="F120" s="801"/>
      <c r="G120" s="806" t="s">
        <v>311</v>
      </c>
      <c r="H120" s="851">
        <f t="shared" ref="H120:R120" si="52">IF(H116&lt;$D$120,$E$120,H35/H4)</f>
        <v>0.51546443919947083</v>
      </c>
      <c r="I120" s="851">
        <f t="shared" si="52"/>
        <v>0.83389726138389231</v>
      </c>
      <c r="J120" s="851">
        <f t="shared" si="52"/>
        <v>1.1683808492722243</v>
      </c>
      <c r="K120" s="851" t="str">
        <f t="shared" si="52"/>
        <v>N/A</v>
      </c>
      <c r="L120" s="851" t="str">
        <f t="shared" si="52"/>
        <v>N/A</v>
      </c>
      <c r="M120" s="851" t="str">
        <f t="shared" si="52"/>
        <v>N/A</v>
      </c>
      <c r="N120" s="851" t="str">
        <f t="shared" si="52"/>
        <v>N/A</v>
      </c>
      <c r="O120" s="851" t="str">
        <f t="shared" si="52"/>
        <v>N/A</v>
      </c>
      <c r="P120" s="851" t="str">
        <f t="shared" si="52"/>
        <v>N/A</v>
      </c>
      <c r="Q120" s="851" t="str">
        <f t="shared" si="52"/>
        <v>N/A</v>
      </c>
      <c r="R120" s="851" t="str">
        <f t="shared" si="52"/>
        <v>N/A</v>
      </c>
    </row>
    <row r="121" spans="1:19" x14ac:dyDescent="0.2">
      <c r="A121" s="801" t="s">
        <v>312</v>
      </c>
      <c r="B121" s="799" t="s">
        <v>313</v>
      </c>
      <c r="C121" s="808" t="s">
        <v>314</v>
      </c>
      <c r="D121" s="867">
        <v>0.5</v>
      </c>
      <c r="E121" s="868" t="s">
        <v>310</v>
      </c>
      <c r="F121" s="801"/>
      <c r="G121" s="810" t="s">
        <v>315</v>
      </c>
      <c r="H121" s="851">
        <f t="shared" ref="H121:R121" si="53">IF(H116&lt;$D$121,$E$121,H35/H15)</f>
        <v>0.5720290884003385</v>
      </c>
      <c r="I121" s="851">
        <f t="shared" si="53"/>
        <v>0.86556886227544905</v>
      </c>
      <c r="J121" s="851">
        <f t="shared" si="53"/>
        <v>1.3993804704102581</v>
      </c>
      <c r="K121" s="851" t="str">
        <f t="shared" si="53"/>
        <v>N/A</v>
      </c>
      <c r="L121" s="851" t="str">
        <f t="shared" si="53"/>
        <v>N/A</v>
      </c>
      <c r="M121" s="851" t="str">
        <f t="shared" si="53"/>
        <v>N/A</v>
      </c>
      <c r="N121" s="851" t="str">
        <f t="shared" si="53"/>
        <v>N/A</v>
      </c>
      <c r="O121" s="851" t="str">
        <f t="shared" si="53"/>
        <v>N/A</v>
      </c>
      <c r="P121" s="851" t="str">
        <f t="shared" si="53"/>
        <v>N/A</v>
      </c>
      <c r="Q121" s="851" t="str">
        <f t="shared" si="53"/>
        <v>N/A</v>
      </c>
      <c r="R121" s="851" t="str">
        <f t="shared" si="53"/>
        <v>N/A</v>
      </c>
    </row>
    <row r="122" spans="1:19" x14ac:dyDescent="0.2">
      <c r="A122" s="801" t="s">
        <v>316</v>
      </c>
      <c r="B122" s="799" t="s">
        <v>317</v>
      </c>
      <c r="C122" s="808" t="s">
        <v>217</v>
      </c>
      <c r="D122" s="867">
        <v>0.5</v>
      </c>
      <c r="E122" s="868" t="s">
        <v>310</v>
      </c>
      <c r="F122" s="801"/>
      <c r="G122" s="806" t="s">
        <v>318</v>
      </c>
      <c r="H122" s="862">
        <f t="shared" ref="H122:R122" si="54">IF(H116&lt;$D$122,$E$122,H46/H33)</f>
        <v>-13.086326418500018</v>
      </c>
      <c r="I122" s="862">
        <f t="shared" si="54"/>
        <v>-7.3320171574226176</v>
      </c>
      <c r="J122" s="862">
        <f t="shared" si="54"/>
        <v>-5.2889150542594257</v>
      </c>
      <c r="K122" s="862" t="str">
        <f t="shared" si="54"/>
        <v>N/A</v>
      </c>
      <c r="L122" s="862" t="str">
        <f t="shared" si="54"/>
        <v>N/A</v>
      </c>
      <c r="M122" s="862" t="str">
        <f t="shared" si="54"/>
        <v>N/A</v>
      </c>
      <c r="N122" s="862" t="str">
        <f t="shared" si="54"/>
        <v>N/A</v>
      </c>
      <c r="O122" s="862" t="str">
        <f t="shared" si="54"/>
        <v>N/A</v>
      </c>
      <c r="P122" s="862" t="str">
        <f t="shared" si="54"/>
        <v>N/A</v>
      </c>
      <c r="Q122" s="862" t="str">
        <f t="shared" si="54"/>
        <v>N/A</v>
      </c>
      <c r="R122" s="862" t="str">
        <f t="shared" si="54"/>
        <v>N/A</v>
      </c>
    </row>
    <row r="123" spans="1:19" x14ac:dyDescent="0.2">
      <c r="A123" s="801" t="s">
        <v>319</v>
      </c>
      <c r="B123" s="799" t="s">
        <v>320</v>
      </c>
      <c r="C123" s="808" t="s">
        <v>321</v>
      </c>
      <c r="D123" s="867">
        <v>0.5</v>
      </c>
      <c r="E123" s="868" t="s">
        <v>310</v>
      </c>
      <c r="F123" s="801"/>
      <c r="G123" s="810" t="s">
        <v>322</v>
      </c>
      <c r="H123" s="862">
        <f t="shared" ref="H123:R123" si="55">IF(H116&lt;$D$122,$E$123,H51/H33)</f>
        <v>-13.086326418500018</v>
      </c>
      <c r="I123" s="862">
        <f t="shared" si="55"/>
        <v>-7.3320171574226176</v>
      </c>
      <c r="J123" s="862">
        <f t="shared" si="55"/>
        <v>-5.2889174819742184</v>
      </c>
      <c r="K123" s="862" t="str">
        <f t="shared" si="55"/>
        <v>N/A</v>
      </c>
      <c r="L123" s="862" t="str">
        <f t="shared" si="55"/>
        <v>N/A</v>
      </c>
      <c r="M123" s="862" t="str">
        <f t="shared" si="55"/>
        <v>N/A</v>
      </c>
      <c r="N123" s="862" t="str">
        <f t="shared" si="55"/>
        <v>N/A</v>
      </c>
      <c r="O123" s="862" t="str">
        <f t="shared" si="55"/>
        <v>N/A</v>
      </c>
      <c r="P123" s="862" t="str">
        <f t="shared" si="55"/>
        <v>N/A</v>
      </c>
      <c r="Q123" s="862" t="str">
        <f t="shared" si="55"/>
        <v>N/A</v>
      </c>
      <c r="R123" s="862" t="str">
        <f t="shared" si="55"/>
        <v>N/A</v>
      </c>
    </row>
    <row r="124" spans="1:19" x14ac:dyDescent="0.2">
      <c r="A124" s="801" t="s">
        <v>323</v>
      </c>
      <c r="B124" s="799" t="s">
        <v>324</v>
      </c>
      <c r="C124" s="808" t="s">
        <v>325</v>
      </c>
      <c r="D124" s="867">
        <v>0.5</v>
      </c>
      <c r="E124" s="868" t="s">
        <v>310</v>
      </c>
      <c r="F124" s="801"/>
      <c r="G124" s="810" t="s">
        <v>326</v>
      </c>
      <c r="H124" s="862">
        <f t="shared" ref="H124:R124" si="56">IF(H116&lt;$D$124,$E$124,H51/H4)</f>
        <v>-7.2325358644146238</v>
      </c>
      <c r="I124" s="862">
        <f t="shared" si="56"/>
        <v>-6.5537611408199652</v>
      </c>
      <c r="J124" s="862">
        <f t="shared" si="56"/>
        <v>-6.5516600505232772</v>
      </c>
      <c r="K124" s="862" t="str">
        <f t="shared" si="56"/>
        <v>N/A</v>
      </c>
      <c r="L124" s="862" t="str">
        <f t="shared" si="56"/>
        <v>N/A</v>
      </c>
      <c r="M124" s="862" t="str">
        <f t="shared" si="56"/>
        <v>N/A</v>
      </c>
      <c r="N124" s="862" t="str">
        <f t="shared" si="56"/>
        <v>N/A</v>
      </c>
      <c r="O124" s="862" t="str">
        <f t="shared" si="56"/>
        <v>N/A</v>
      </c>
      <c r="P124" s="862" t="str">
        <f t="shared" si="56"/>
        <v>N/A</v>
      </c>
      <c r="Q124" s="862" t="str">
        <f t="shared" si="56"/>
        <v>N/A</v>
      </c>
      <c r="R124" s="862" t="str">
        <f t="shared" si="56"/>
        <v>N/A</v>
      </c>
    </row>
    <row r="125" spans="1:19" x14ac:dyDescent="0.2">
      <c r="A125" s="801" t="s">
        <v>327</v>
      </c>
      <c r="B125" s="799" t="s">
        <v>328</v>
      </c>
      <c r="C125" s="808" t="s">
        <v>329</v>
      </c>
      <c r="D125" s="867">
        <v>0.5</v>
      </c>
      <c r="E125" s="868" t="s">
        <v>310</v>
      </c>
      <c r="F125" s="801"/>
      <c r="G125" s="845" t="s">
        <v>330</v>
      </c>
      <c r="H125" s="862">
        <f t="shared" ref="H125:R125" si="57">IF(H116&lt;$D$125,$E$125,H51/H27)</f>
        <v>-52.638606829063136</v>
      </c>
      <c r="I125" s="862">
        <f t="shared" si="57"/>
        <v>-25.776784917589826</v>
      </c>
      <c r="J125" s="862">
        <f t="shared" si="57"/>
        <v>-14.876592780759617</v>
      </c>
      <c r="K125" s="862" t="str">
        <f t="shared" si="57"/>
        <v>N/A</v>
      </c>
      <c r="L125" s="862" t="str">
        <f t="shared" si="57"/>
        <v>N/A</v>
      </c>
      <c r="M125" s="862" t="str">
        <f t="shared" si="57"/>
        <v>N/A</v>
      </c>
      <c r="N125" s="862" t="str">
        <f t="shared" si="57"/>
        <v>N/A</v>
      </c>
      <c r="O125" s="862" t="str">
        <f t="shared" si="57"/>
        <v>N/A</v>
      </c>
      <c r="P125" s="862" t="str">
        <f t="shared" si="57"/>
        <v>N/A</v>
      </c>
      <c r="Q125" s="862" t="str">
        <f t="shared" si="57"/>
        <v>N/A</v>
      </c>
      <c r="R125" s="862" t="str">
        <f t="shared" si="57"/>
        <v>N/A</v>
      </c>
    </row>
    <row r="126" spans="1:19" x14ac:dyDescent="0.2">
      <c r="C126" s="864"/>
      <c r="D126" s="864"/>
      <c r="E126" s="865"/>
      <c r="F126" s="801"/>
      <c r="G126" s="808"/>
      <c r="H126" s="808"/>
      <c r="I126" s="808"/>
      <c r="J126" s="808"/>
      <c r="K126" s="808"/>
      <c r="L126" s="808"/>
      <c r="M126" s="808"/>
      <c r="N126" s="808"/>
      <c r="O126" s="808"/>
      <c r="P126" s="808"/>
      <c r="Q126" s="808"/>
      <c r="R126" s="808"/>
      <c r="S126" s="808"/>
    </row>
    <row r="127" spans="1:19" x14ac:dyDescent="0.2">
      <c r="F127" s="801"/>
      <c r="H127" s="828">
        <f>H119</f>
        <v>2011</v>
      </c>
      <c r="I127" s="828">
        <f t="shared" ref="I127:R127" si="58">I119</f>
        <v>2012</v>
      </c>
      <c r="J127" s="828">
        <f t="shared" si="58"/>
        <v>2013</v>
      </c>
      <c r="K127" s="828">
        <f t="shared" si="58"/>
        <v>2014</v>
      </c>
      <c r="L127" s="828">
        <f t="shared" si="58"/>
        <v>2015</v>
      </c>
      <c r="M127" s="828">
        <f t="shared" si="58"/>
        <v>2016</v>
      </c>
      <c r="N127" s="828">
        <f t="shared" si="58"/>
        <v>2017</v>
      </c>
      <c r="O127" s="828">
        <f t="shared" si="58"/>
        <v>2018</v>
      </c>
      <c r="P127" s="828">
        <f t="shared" si="58"/>
        <v>2019</v>
      </c>
      <c r="Q127" s="828">
        <f t="shared" si="58"/>
        <v>2020</v>
      </c>
      <c r="R127" s="828">
        <f t="shared" si="58"/>
        <v>2021</v>
      </c>
    </row>
    <row r="128" spans="1:19" x14ac:dyDescent="0.2">
      <c r="G128" s="869" t="s">
        <v>331</v>
      </c>
      <c r="H128" s="870">
        <f t="shared" ref="H128:R128" si="59">H33</f>
        <v>152.90799999999999</v>
      </c>
      <c r="I128" s="870">
        <f t="shared" si="59"/>
        <v>275.79899999999998</v>
      </c>
      <c r="J128" s="870">
        <f t="shared" si="59"/>
        <v>411.90999999999997</v>
      </c>
      <c r="K128" s="870">
        <f t="shared" si="59"/>
        <v>2403.567</v>
      </c>
      <c r="L128" s="870">
        <f t="shared" si="59"/>
        <v>2997.1560000000004</v>
      </c>
      <c r="M128" s="870">
        <f t="shared" si="59"/>
        <v>3092.2889999999998</v>
      </c>
      <c r="N128" s="870">
        <f t="shared" si="59"/>
        <v>2923.8449999999998</v>
      </c>
      <c r="O128" s="870">
        <f t="shared" si="59"/>
        <v>2955</v>
      </c>
      <c r="P128" s="870">
        <f t="shared" si="59"/>
        <v>2995</v>
      </c>
      <c r="Q128" s="870">
        <f t="shared" si="59"/>
        <v>3025</v>
      </c>
      <c r="R128" s="870">
        <f t="shared" si="59"/>
        <v>3025</v>
      </c>
    </row>
    <row r="129" spans="3:19" x14ac:dyDescent="0.2">
      <c r="G129" s="869" t="s">
        <v>332</v>
      </c>
      <c r="H129" s="870">
        <f t="shared" ref="H129:R130" si="60">H35</f>
        <v>142.61199999999999</v>
      </c>
      <c r="I129" s="870">
        <f t="shared" si="60"/>
        <v>257.29899999999998</v>
      </c>
      <c r="J129" s="870">
        <f t="shared" si="60"/>
        <v>388.51</v>
      </c>
      <c r="K129" s="870">
        <f t="shared" si="60"/>
        <v>266.80599999999998</v>
      </c>
      <c r="L129" s="870">
        <f t="shared" si="60"/>
        <v>347.01799999999997</v>
      </c>
      <c r="M129" s="870">
        <f t="shared" si="60"/>
        <v>443.44600000000003</v>
      </c>
      <c r="N129" s="870">
        <f t="shared" si="60"/>
        <v>238.96199999999999</v>
      </c>
      <c r="O129" s="870">
        <f t="shared" si="60"/>
        <v>290</v>
      </c>
      <c r="P129" s="870">
        <f t="shared" si="60"/>
        <v>310</v>
      </c>
      <c r="Q129" s="870">
        <f t="shared" si="60"/>
        <v>330</v>
      </c>
      <c r="R129" s="870">
        <f t="shared" si="60"/>
        <v>330</v>
      </c>
    </row>
    <row r="130" spans="3:19" x14ac:dyDescent="0.2">
      <c r="G130" s="869" t="s">
        <v>333</v>
      </c>
      <c r="H130" s="870">
        <f t="shared" si="60"/>
        <v>10.295999999999999</v>
      </c>
      <c r="I130" s="870">
        <f t="shared" si="60"/>
        <v>18.5</v>
      </c>
      <c r="J130" s="870">
        <f t="shared" si="60"/>
        <v>23.4</v>
      </c>
      <c r="K130" s="870">
        <f t="shared" si="60"/>
        <v>2136.761</v>
      </c>
      <c r="L130" s="870">
        <f t="shared" si="60"/>
        <v>2640.3470000000002</v>
      </c>
      <c r="M130" s="870">
        <f t="shared" si="60"/>
        <v>2648.8429999999998</v>
      </c>
      <c r="N130" s="870">
        <f t="shared" si="60"/>
        <v>2684.8829999999998</v>
      </c>
      <c r="O130" s="870">
        <f t="shared" si="60"/>
        <v>2665</v>
      </c>
      <c r="P130" s="870">
        <f t="shared" si="60"/>
        <v>2685</v>
      </c>
      <c r="Q130" s="870">
        <f t="shared" si="60"/>
        <v>2695</v>
      </c>
      <c r="R130" s="870">
        <f t="shared" si="60"/>
        <v>2695</v>
      </c>
    </row>
    <row r="131" spans="3:19" x14ac:dyDescent="0.2">
      <c r="G131" s="869" t="s">
        <v>334</v>
      </c>
      <c r="H131" s="870">
        <f t="shared" ref="H131:R131" si="61">H38+H41</f>
        <v>-2153.9120000000007</v>
      </c>
      <c r="I131" s="870">
        <f t="shared" si="61"/>
        <v>-2297.9620000000004</v>
      </c>
      <c r="J131" s="870">
        <f t="shared" si="61"/>
        <v>-2590.4670000000001</v>
      </c>
      <c r="K131" s="870">
        <f t="shared" si="61"/>
        <v>-2354.9180000000001</v>
      </c>
      <c r="L131" s="870">
        <f t="shared" si="61"/>
        <v>-2830.55</v>
      </c>
      <c r="M131" s="870">
        <f t="shared" si="61"/>
        <v>-3029.6780000000003</v>
      </c>
      <c r="N131" s="870">
        <f t="shared" si="61"/>
        <v>-2920.982</v>
      </c>
      <c r="O131" s="870">
        <f t="shared" si="61"/>
        <v>-2918</v>
      </c>
      <c r="P131" s="870">
        <f t="shared" si="61"/>
        <v>-2978</v>
      </c>
      <c r="Q131" s="870">
        <f t="shared" si="61"/>
        <v>-3005</v>
      </c>
      <c r="R131" s="870">
        <f t="shared" si="61"/>
        <v>-3025</v>
      </c>
    </row>
    <row r="132" spans="3:19" x14ac:dyDescent="0.2">
      <c r="G132" s="869" t="s">
        <v>335</v>
      </c>
      <c r="H132" s="870">
        <f t="shared" ref="H132:R132" si="62">H41</f>
        <v>-2153.7840000000006</v>
      </c>
      <c r="I132" s="870">
        <f t="shared" si="62"/>
        <v>-2297.8340000000003</v>
      </c>
      <c r="J132" s="870">
        <f t="shared" si="62"/>
        <v>-2590.3389999999999</v>
      </c>
      <c r="K132" s="870">
        <f t="shared" si="62"/>
        <v>-2354.9180000000001</v>
      </c>
      <c r="L132" s="870">
        <f t="shared" si="62"/>
        <v>-2830.55</v>
      </c>
      <c r="M132" s="870">
        <f t="shared" si="62"/>
        <v>-3029.6780000000003</v>
      </c>
      <c r="N132" s="870">
        <f t="shared" si="62"/>
        <v>-2920.982</v>
      </c>
      <c r="O132" s="870">
        <f t="shared" si="62"/>
        <v>-2918</v>
      </c>
      <c r="P132" s="870">
        <f t="shared" si="62"/>
        <v>-2978</v>
      </c>
      <c r="Q132" s="870">
        <f t="shared" si="62"/>
        <v>-3005</v>
      </c>
      <c r="R132" s="870">
        <f t="shared" si="62"/>
        <v>-3025</v>
      </c>
    </row>
    <row r="133" spans="3:19" x14ac:dyDescent="0.2">
      <c r="G133" s="869" t="s">
        <v>336</v>
      </c>
      <c r="H133" s="870">
        <f t="shared" ref="H133:R133" si="63">H38</f>
        <v>-0.128</v>
      </c>
      <c r="I133" s="870">
        <f t="shared" si="63"/>
        <v>-0.128</v>
      </c>
      <c r="J133" s="870">
        <f t="shared" si="63"/>
        <v>-0.128</v>
      </c>
      <c r="K133" s="870">
        <f t="shared" si="63"/>
        <v>0</v>
      </c>
      <c r="L133" s="870">
        <f t="shared" si="63"/>
        <v>0</v>
      </c>
      <c r="M133" s="870">
        <f t="shared" si="63"/>
        <v>0</v>
      </c>
      <c r="N133" s="870">
        <f t="shared" si="63"/>
        <v>0</v>
      </c>
      <c r="O133" s="870">
        <f t="shared" si="63"/>
        <v>0</v>
      </c>
      <c r="P133" s="870">
        <f t="shared" si="63"/>
        <v>0</v>
      </c>
      <c r="Q133" s="870">
        <f t="shared" si="63"/>
        <v>0</v>
      </c>
      <c r="R133" s="870">
        <f t="shared" si="63"/>
        <v>0</v>
      </c>
    </row>
    <row r="134" spans="3:19" x14ac:dyDescent="0.2">
      <c r="G134" s="869" t="s">
        <v>337</v>
      </c>
      <c r="H134" s="870">
        <f t="shared" ref="H134:R134" si="64">H46</f>
        <v>-2001.0040000000006</v>
      </c>
      <c r="I134" s="870">
        <f t="shared" si="64"/>
        <v>-2022.1630000000002</v>
      </c>
      <c r="J134" s="870">
        <f t="shared" si="64"/>
        <v>-2178.5569999999998</v>
      </c>
      <c r="K134" s="870">
        <f t="shared" si="64"/>
        <v>48.648999999999887</v>
      </c>
      <c r="L134" s="870">
        <f t="shared" si="64"/>
        <v>166.60600000000022</v>
      </c>
      <c r="M134" s="870">
        <f t="shared" si="64"/>
        <v>62.610999999999422</v>
      </c>
      <c r="N134" s="870">
        <f t="shared" si="64"/>
        <v>2.862999999999829</v>
      </c>
      <c r="O134" s="870">
        <f t="shared" si="64"/>
        <v>37</v>
      </c>
      <c r="P134" s="870">
        <f t="shared" si="64"/>
        <v>17</v>
      </c>
      <c r="Q134" s="870">
        <f t="shared" si="64"/>
        <v>20</v>
      </c>
      <c r="R134" s="870">
        <f t="shared" si="64"/>
        <v>0</v>
      </c>
    </row>
    <row r="135" spans="3:19" x14ac:dyDescent="0.2">
      <c r="G135" s="869" t="s">
        <v>338</v>
      </c>
      <c r="H135" s="870">
        <f t="shared" ref="H135:R135" si="65">H51</f>
        <v>-2001.0040000000006</v>
      </c>
      <c r="I135" s="870">
        <f t="shared" si="65"/>
        <v>-2022.1630000000002</v>
      </c>
      <c r="J135" s="870">
        <f t="shared" si="65"/>
        <v>-2178.558</v>
      </c>
      <c r="K135" s="870">
        <f t="shared" si="65"/>
        <v>48.648999999999887</v>
      </c>
      <c r="L135" s="870">
        <f t="shared" si="65"/>
        <v>168.61500000000021</v>
      </c>
      <c r="M135" s="870">
        <f t="shared" si="65"/>
        <v>64.275999999999428</v>
      </c>
      <c r="N135" s="870">
        <f t="shared" si="65"/>
        <v>4.862999999999829</v>
      </c>
      <c r="O135" s="870">
        <f t="shared" si="65"/>
        <v>37</v>
      </c>
      <c r="P135" s="870">
        <f t="shared" si="65"/>
        <v>17</v>
      </c>
      <c r="Q135" s="870">
        <f t="shared" si="65"/>
        <v>20</v>
      </c>
      <c r="R135" s="870">
        <f t="shared" si="65"/>
        <v>0</v>
      </c>
    </row>
    <row r="136" spans="3:19" x14ac:dyDescent="0.2">
      <c r="G136" s="869" t="s">
        <v>339</v>
      </c>
      <c r="H136" s="870">
        <f t="shared" ref="H136:R137" si="66">H4</f>
        <v>276.66699999999997</v>
      </c>
      <c r="I136" s="870">
        <f t="shared" si="66"/>
        <v>308.55</v>
      </c>
      <c r="J136" s="870">
        <f t="shared" si="66"/>
        <v>332.52</v>
      </c>
      <c r="K136" s="870">
        <f t="shared" si="66"/>
        <v>522.80999999999995</v>
      </c>
      <c r="L136" s="870">
        <f t="shared" si="66"/>
        <v>717.98800000000006</v>
      </c>
      <c r="M136" s="870">
        <f t="shared" si="66"/>
        <v>803.90100000000007</v>
      </c>
      <c r="N136" s="870">
        <f t="shared" si="66"/>
        <v>713</v>
      </c>
      <c r="O136" s="870">
        <f t="shared" si="66"/>
        <v>701</v>
      </c>
      <c r="P136" s="870">
        <f t="shared" si="66"/>
        <v>765.99199999999996</v>
      </c>
      <c r="Q136" s="870">
        <f t="shared" si="66"/>
        <v>753</v>
      </c>
      <c r="R136" s="870">
        <f t="shared" si="66"/>
        <v>780</v>
      </c>
    </row>
    <row r="137" spans="3:19" x14ac:dyDescent="0.2">
      <c r="G137" s="869" t="s">
        <v>340</v>
      </c>
      <c r="H137" s="870">
        <f t="shared" si="66"/>
        <v>27.358000000000001</v>
      </c>
      <c r="I137" s="870">
        <f t="shared" si="66"/>
        <v>11.290000000000001</v>
      </c>
      <c r="J137" s="870">
        <f t="shared" si="66"/>
        <v>54.89</v>
      </c>
      <c r="K137" s="870">
        <f t="shared" si="66"/>
        <v>261.89499999999998</v>
      </c>
      <c r="L137" s="870">
        <f t="shared" si="66"/>
        <v>409.803</v>
      </c>
      <c r="M137" s="870">
        <f t="shared" si="66"/>
        <v>504.608</v>
      </c>
      <c r="N137" s="870">
        <f t="shared" si="66"/>
        <v>375</v>
      </c>
      <c r="O137" s="870">
        <f t="shared" si="66"/>
        <v>325</v>
      </c>
      <c r="P137" s="870">
        <f t="shared" si="66"/>
        <v>335</v>
      </c>
      <c r="Q137" s="870">
        <f t="shared" si="66"/>
        <v>275</v>
      </c>
      <c r="R137" s="870">
        <f t="shared" si="66"/>
        <v>255</v>
      </c>
    </row>
    <row r="138" spans="3:19" x14ac:dyDescent="0.2">
      <c r="G138" s="869" t="s">
        <v>341</v>
      </c>
      <c r="H138" s="870">
        <f t="shared" ref="H138:R138" si="67">H10</f>
        <v>249.309</v>
      </c>
      <c r="I138" s="870">
        <f t="shared" si="67"/>
        <v>297.26</v>
      </c>
      <c r="J138" s="870">
        <f t="shared" si="67"/>
        <v>277.63</v>
      </c>
      <c r="K138" s="870">
        <f t="shared" si="67"/>
        <v>260.91500000000002</v>
      </c>
      <c r="L138" s="870">
        <f t="shared" si="67"/>
        <v>308.185</v>
      </c>
      <c r="M138" s="870">
        <f t="shared" si="67"/>
        <v>299.29300000000001</v>
      </c>
      <c r="N138" s="870">
        <f t="shared" si="67"/>
        <v>338</v>
      </c>
      <c r="O138" s="870">
        <f t="shared" si="67"/>
        <v>376</v>
      </c>
      <c r="P138" s="870">
        <f t="shared" si="67"/>
        <v>430.99200000000002</v>
      </c>
      <c r="Q138" s="870">
        <f t="shared" si="67"/>
        <v>478</v>
      </c>
      <c r="R138" s="870">
        <f t="shared" si="67"/>
        <v>525</v>
      </c>
    </row>
    <row r="139" spans="3:19" x14ac:dyDescent="0.2">
      <c r="G139" s="869" t="s">
        <v>342</v>
      </c>
      <c r="H139" s="870">
        <f t="shared" ref="H139:R140" si="68">H19</f>
        <v>238.65299999999999</v>
      </c>
      <c r="I139" s="870">
        <f t="shared" si="68"/>
        <v>230.101</v>
      </c>
      <c r="J139" s="870">
        <f t="shared" si="68"/>
        <v>186.077</v>
      </c>
      <c r="K139" s="870">
        <f t="shared" si="68"/>
        <v>241.405</v>
      </c>
      <c r="L139" s="870">
        <f t="shared" si="68"/>
        <v>267.96899999999999</v>
      </c>
      <c r="M139" s="870">
        <f t="shared" si="68"/>
        <v>289.41000000000003</v>
      </c>
      <c r="N139" s="870">
        <f t="shared" si="68"/>
        <v>194</v>
      </c>
      <c r="O139" s="870">
        <f t="shared" si="68"/>
        <v>145</v>
      </c>
      <c r="P139" s="870">
        <f t="shared" si="68"/>
        <v>193</v>
      </c>
      <c r="Q139" s="870">
        <f t="shared" si="68"/>
        <v>160</v>
      </c>
      <c r="R139" s="870">
        <f t="shared" si="68"/>
        <v>187</v>
      </c>
    </row>
    <row r="140" spans="3:19" x14ac:dyDescent="0.2">
      <c r="G140" s="869" t="s">
        <v>343</v>
      </c>
      <c r="H140" s="870">
        <f t="shared" si="68"/>
        <v>238.65299999999999</v>
      </c>
      <c r="I140" s="870">
        <f t="shared" si="68"/>
        <v>230.101</v>
      </c>
      <c r="J140" s="870">
        <f t="shared" si="68"/>
        <v>186.077</v>
      </c>
      <c r="K140" s="870">
        <f t="shared" si="68"/>
        <v>241.405</v>
      </c>
      <c r="L140" s="870">
        <f t="shared" si="68"/>
        <v>267.96899999999999</v>
      </c>
      <c r="M140" s="870">
        <f t="shared" si="68"/>
        <v>289.41000000000003</v>
      </c>
      <c r="N140" s="870">
        <f t="shared" si="68"/>
        <v>194</v>
      </c>
      <c r="O140" s="870">
        <f t="shared" si="68"/>
        <v>135</v>
      </c>
      <c r="P140" s="870">
        <f t="shared" si="68"/>
        <v>193</v>
      </c>
      <c r="Q140" s="870">
        <f t="shared" si="68"/>
        <v>160</v>
      </c>
      <c r="R140" s="870">
        <f t="shared" si="68"/>
        <v>187</v>
      </c>
    </row>
    <row r="141" spans="3:19" x14ac:dyDescent="0.2">
      <c r="G141" s="869" t="s">
        <v>344</v>
      </c>
      <c r="H141" s="870">
        <f t="shared" ref="H141:R141" si="69">H24</f>
        <v>0</v>
      </c>
      <c r="I141" s="870">
        <f t="shared" si="69"/>
        <v>0</v>
      </c>
      <c r="J141" s="870">
        <f t="shared" si="69"/>
        <v>0</v>
      </c>
      <c r="K141" s="870">
        <f t="shared" si="69"/>
        <v>0</v>
      </c>
      <c r="L141" s="870">
        <f t="shared" si="69"/>
        <v>0</v>
      </c>
      <c r="M141" s="870">
        <f t="shared" si="69"/>
        <v>0</v>
      </c>
      <c r="N141" s="870">
        <f t="shared" si="69"/>
        <v>0</v>
      </c>
      <c r="O141" s="870">
        <f t="shared" si="69"/>
        <v>0</v>
      </c>
      <c r="P141" s="870">
        <f t="shared" si="69"/>
        <v>0</v>
      </c>
      <c r="Q141" s="870">
        <f t="shared" si="69"/>
        <v>0</v>
      </c>
      <c r="R141" s="870">
        <f t="shared" si="69"/>
        <v>0</v>
      </c>
    </row>
    <row r="142" spans="3:19" x14ac:dyDescent="0.2">
      <c r="G142" s="869" t="s">
        <v>345</v>
      </c>
      <c r="H142" s="870">
        <f t="shared" ref="H142:R142" si="70">H27</f>
        <v>38.013999999999896</v>
      </c>
      <c r="I142" s="870">
        <f t="shared" si="70"/>
        <v>78.448999999999842</v>
      </c>
      <c r="J142" s="870">
        <f t="shared" si="70"/>
        <v>146.44200000000001</v>
      </c>
      <c r="K142" s="870">
        <f t="shared" si="70"/>
        <v>281.404</v>
      </c>
      <c r="L142" s="870">
        <f t="shared" si="70"/>
        <v>450.01800000000003</v>
      </c>
      <c r="M142" s="870">
        <f t="shared" si="70"/>
        <v>514.49099999999999</v>
      </c>
      <c r="N142" s="870">
        <f t="shared" si="70"/>
        <v>519</v>
      </c>
      <c r="O142" s="870">
        <f t="shared" si="70"/>
        <v>556</v>
      </c>
      <c r="P142" s="870">
        <f t="shared" si="70"/>
        <v>573</v>
      </c>
      <c r="Q142" s="870">
        <f t="shared" si="70"/>
        <v>593</v>
      </c>
      <c r="R142" s="870">
        <f t="shared" si="70"/>
        <v>593</v>
      </c>
    </row>
    <row r="143" spans="3:19" x14ac:dyDescent="0.2">
      <c r="C143" s="864"/>
      <c r="D143" s="864"/>
      <c r="E143" s="865"/>
      <c r="G143" s="808"/>
      <c r="H143" s="808"/>
      <c r="I143" s="808"/>
      <c r="J143" s="808"/>
      <c r="K143" s="808"/>
      <c r="L143" s="808"/>
      <c r="M143" s="808"/>
      <c r="N143" s="808"/>
      <c r="O143" s="808"/>
      <c r="P143" s="808"/>
      <c r="Q143" s="808"/>
      <c r="R143" s="808"/>
      <c r="S143" s="808"/>
    </row>
    <row r="144" spans="3:19" x14ac:dyDescent="0.2">
      <c r="C144" s="808" t="s">
        <v>346</v>
      </c>
      <c r="G144" s="808"/>
      <c r="H144" s="808"/>
      <c r="I144" s="808"/>
      <c r="J144" s="808"/>
      <c r="K144" s="808"/>
      <c r="L144" s="808"/>
      <c r="M144" s="808"/>
      <c r="N144" s="808"/>
      <c r="O144" s="808"/>
      <c r="P144" s="808"/>
      <c r="Q144" s="808"/>
      <c r="R144" s="808"/>
      <c r="S144" s="808"/>
    </row>
    <row r="145" spans="3:18" x14ac:dyDescent="0.2">
      <c r="C145" s="808"/>
      <c r="H145" s="843"/>
      <c r="I145" s="843"/>
      <c r="J145" s="843"/>
      <c r="K145" s="843"/>
      <c r="L145" s="843"/>
      <c r="M145" s="843"/>
      <c r="N145" s="843"/>
      <c r="O145" s="843"/>
      <c r="P145" s="843"/>
      <c r="Q145" s="843"/>
      <c r="R145" s="843"/>
    </row>
    <row r="146" spans="3:18" x14ac:dyDescent="0.2">
      <c r="C146" s="808" t="s">
        <v>347</v>
      </c>
      <c r="H146" s="843"/>
      <c r="I146" s="843"/>
      <c r="J146" s="843"/>
      <c r="K146" s="843"/>
      <c r="L146" s="843"/>
      <c r="M146" s="843"/>
      <c r="N146" s="843"/>
      <c r="O146" s="843"/>
      <c r="P146" s="843"/>
      <c r="Q146" s="843"/>
      <c r="R146" s="843"/>
    </row>
    <row r="147" spans="3:18" x14ac:dyDescent="0.2">
      <c r="C147" s="808" t="s">
        <v>348</v>
      </c>
      <c r="F147" s="814"/>
      <c r="G147" s="871"/>
      <c r="H147" s="871"/>
      <c r="I147" s="871"/>
      <c r="J147" s="871"/>
      <c r="K147" s="871"/>
      <c r="L147" s="871"/>
      <c r="M147" s="871"/>
      <c r="N147" s="871"/>
      <c r="O147" s="871"/>
      <c r="P147" s="871"/>
      <c r="Q147" s="871"/>
      <c r="R147" s="871"/>
    </row>
    <row r="148" spans="3:18" x14ac:dyDescent="0.2">
      <c r="C148" s="808"/>
      <c r="F148" s="814"/>
      <c r="G148" s="833"/>
      <c r="H148" s="833"/>
      <c r="I148" s="833"/>
      <c r="J148" s="833"/>
      <c r="K148" s="833"/>
      <c r="L148" s="833"/>
      <c r="M148" s="833"/>
      <c r="N148" s="833"/>
      <c r="O148" s="833"/>
      <c r="P148" s="833"/>
      <c r="Q148" s="833"/>
      <c r="R148" s="833"/>
    </row>
    <row r="149" spans="3:18" x14ac:dyDescent="0.2">
      <c r="C149" s="872" t="s">
        <v>349</v>
      </c>
      <c r="D149" s="873"/>
      <c r="E149" s="874"/>
      <c r="F149" s="875"/>
      <c r="G149" s="876"/>
      <c r="H149" s="877"/>
      <c r="I149" s="877"/>
      <c r="J149" s="877"/>
      <c r="K149" s="877"/>
    </row>
    <row r="150" spans="3:18" x14ac:dyDescent="0.2">
      <c r="C150" s="872" t="s">
        <v>350</v>
      </c>
      <c r="D150" s="873"/>
      <c r="E150" s="874"/>
      <c r="F150" s="875"/>
      <c r="G150" s="876"/>
      <c r="H150" s="877"/>
      <c r="I150" s="877"/>
      <c r="J150" s="877"/>
      <c r="K150" s="877"/>
    </row>
  </sheetData>
  <mergeCells count="3">
    <mergeCell ref="K2:L2"/>
    <mergeCell ref="M2:R2"/>
    <mergeCell ref="D87:E87"/>
  </mergeCells>
  <conditionalFormatting sqref="H116:Q116">
    <cfRule type="cellIs" dxfId="1275" priority="51" stopIfTrue="1" operator="greaterThan">
      <formula>$E$116</formula>
    </cfRule>
    <cfRule type="cellIs" dxfId="1274" priority="52" stopIfTrue="1" operator="lessThanOrEqual">
      <formula>$E$116</formula>
    </cfRule>
  </conditionalFormatting>
  <conditionalFormatting sqref="H118:Q118">
    <cfRule type="cellIs" dxfId="1273" priority="49" stopIfTrue="1" operator="lessThanOrEqual">
      <formula>$E$118</formula>
    </cfRule>
    <cfRule type="cellIs" dxfId="1272" priority="50" stopIfTrue="1" operator="greaterThan">
      <formula>$E$118</formula>
    </cfRule>
  </conditionalFormatting>
  <conditionalFormatting sqref="H99:Q99">
    <cfRule type="cellIs" dxfId="1271" priority="47" operator="greaterThan">
      <formula>$E$99</formula>
    </cfRule>
    <cfRule type="cellIs" dxfId="1270" priority="48" operator="lessThanOrEqual">
      <formula>$E$99</formula>
    </cfRule>
  </conditionalFormatting>
  <conditionalFormatting sqref="H102:Q102">
    <cfRule type="cellIs" dxfId="1269" priority="45" stopIfTrue="1" operator="greaterThanOrEqual">
      <formula>$E$102</formula>
    </cfRule>
    <cfRule type="cellIs" dxfId="1268" priority="46" stopIfTrue="1" operator="lessThan">
      <formula>$E$102</formula>
    </cfRule>
  </conditionalFormatting>
  <conditionalFormatting sqref="H104:Q104">
    <cfRule type="cellIs" dxfId="1267" priority="43" stopIfTrue="1" operator="lessThan">
      <formula>$E$104</formula>
    </cfRule>
    <cfRule type="cellIs" dxfId="1266" priority="44" stopIfTrue="1" operator="greaterThanOrEqual">
      <formula>$E$104</formula>
    </cfRule>
  </conditionalFormatting>
  <conditionalFormatting sqref="H103:Q103">
    <cfRule type="cellIs" dxfId="1265" priority="41" stopIfTrue="1" operator="greaterThan">
      <formula>$E$103</formula>
    </cfRule>
    <cfRule type="cellIs" dxfId="1264" priority="42" stopIfTrue="1" operator="lessThanOrEqual">
      <formula>$E$103</formula>
    </cfRule>
  </conditionalFormatting>
  <conditionalFormatting sqref="H100:Q100">
    <cfRule type="cellIs" dxfId="1263" priority="30" stopIfTrue="1" operator="between">
      <formula>$D$100</formula>
      <formula>$E$100</formula>
    </cfRule>
    <cfRule type="cellIs" dxfId="1262" priority="39" stopIfTrue="1" operator="lessThanOrEqual">
      <formula>$D$100</formula>
    </cfRule>
    <cfRule type="cellIs" dxfId="1261" priority="40" stopIfTrue="1" operator="greaterThan">
      <formula>$E$100</formula>
    </cfRule>
  </conditionalFormatting>
  <conditionalFormatting sqref="H117:Q117">
    <cfRule type="cellIs" dxfId="1260" priority="37" stopIfTrue="1" operator="greaterThan">
      <formula>$E$117</formula>
    </cfRule>
    <cfRule type="cellIs" dxfId="1259" priority="38" stopIfTrue="1" operator="lessThanOrEqual">
      <formula>$E$117</formula>
    </cfRule>
  </conditionalFormatting>
  <conditionalFormatting sqref="H107:Q107">
    <cfRule type="cellIs" dxfId="1258" priority="35" stopIfTrue="1" operator="greaterThan">
      <formula>$E$107</formula>
    </cfRule>
    <cfRule type="cellIs" dxfId="1257" priority="36" stopIfTrue="1" operator="lessThanOrEqual">
      <formula>$E$107</formula>
    </cfRule>
  </conditionalFormatting>
  <conditionalFormatting sqref="H108:Q108">
    <cfRule type="cellIs" dxfId="1256" priority="33" stopIfTrue="1" operator="lessThan">
      <formula>$E$108</formula>
    </cfRule>
    <cfRule type="cellIs" dxfId="1255" priority="34" stopIfTrue="1" operator="greaterThanOrEqual">
      <formula>$E$108</formula>
    </cfRule>
  </conditionalFormatting>
  <conditionalFormatting sqref="H93:Q93">
    <cfRule type="cellIs" dxfId="1254" priority="53" stopIfTrue="1" operator="lessThan">
      <formula>$D$93</formula>
    </cfRule>
    <cfRule type="cellIs" dxfId="1253" priority="54" stopIfTrue="1" operator="between">
      <formula>$D$93</formula>
      <formula>$E$93</formula>
    </cfRule>
    <cfRule type="cellIs" dxfId="1252" priority="55" stopIfTrue="1" operator="greaterThan">
      <formula>$E$93</formula>
    </cfRule>
  </conditionalFormatting>
  <conditionalFormatting sqref="H114:Q114">
    <cfRule type="cellIs" dxfId="1251" priority="56" stopIfTrue="1" operator="lessThan">
      <formula>$E$114</formula>
    </cfRule>
    <cfRule type="cellIs" dxfId="1250" priority="57" stopIfTrue="1" operator="between">
      <formula>$D$114</formula>
      <formula>$E$114</formula>
    </cfRule>
    <cfRule type="cellIs" dxfId="1249" priority="58" stopIfTrue="1" operator="greaterThanOrEqual">
      <formula>$D$114</formula>
    </cfRule>
  </conditionalFormatting>
  <conditionalFormatting sqref="H90:Q90">
    <cfRule type="cellIs" dxfId="1248" priority="31" stopIfTrue="1" operator="lessThan">
      <formula>$E$90</formula>
    </cfRule>
    <cfRule type="cellIs" dxfId="1247" priority="32" stopIfTrue="1" operator="greaterThan">
      <formula>$E$90</formula>
    </cfRule>
  </conditionalFormatting>
  <conditionalFormatting sqref="R116">
    <cfRule type="cellIs" dxfId="1246" priority="22" stopIfTrue="1" operator="greaterThan">
      <formula>$E$116</formula>
    </cfRule>
    <cfRule type="cellIs" dxfId="1245" priority="23" stopIfTrue="1" operator="lessThanOrEqual">
      <formula>$E$116</formula>
    </cfRule>
  </conditionalFormatting>
  <conditionalFormatting sqref="R118">
    <cfRule type="cellIs" dxfId="1244" priority="20" stopIfTrue="1" operator="lessThanOrEqual">
      <formula>$E$118</formula>
    </cfRule>
    <cfRule type="cellIs" dxfId="1243" priority="21" stopIfTrue="1" operator="greaterThan">
      <formula>$E$118</formula>
    </cfRule>
  </conditionalFormatting>
  <conditionalFormatting sqref="R99">
    <cfRule type="cellIs" dxfId="1242" priority="18" operator="greaterThan">
      <formula>$E$99</formula>
    </cfRule>
    <cfRule type="cellIs" dxfId="1241" priority="19" operator="lessThanOrEqual">
      <formula>$E$99</formula>
    </cfRule>
  </conditionalFormatting>
  <conditionalFormatting sqref="R102">
    <cfRule type="cellIs" dxfId="1240" priority="16" stopIfTrue="1" operator="greaterThanOrEqual">
      <formula>$E$102</formula>
    </cfRule>
    <cfRule type="cellIs" dxfId="1239" priority="17" stopIfTrue="1" operator="lessThan">
      <formula>$E$102</formula>
    </cfRule>
  </conditionalFormatting>
  <conditionalFormatting sqref="R104">
    <cfRule type="cellIs" dxfId="1238" priority="14" stopIfTrue="1" operator="lessThan">
      <formula>$E$104</formula>
    </cfRule>
    <cfRule type="cellIs" dxfId="1237" priority="15" stopIfTrue="1" operator="greaterThanOrEqual">
      <formula>$E$104</formula>
    </cfRule>
  </conditionalFormatting>
  <conditionalFormatting sqref="R103">
    <cfRule type="cellIs" dxfId="1236" priority="12" stopIfTrue="1" operator="greaterThan">
      <formula>$E$103</formula>
    </cfRule>
    <cfRule type="cellIs" dxfId="1235" priority="13" stopIfTrue="1" operator="lessThanOrEqual">
      <formula>$E$103</formula>
    </cfRule>
  </conditionalFormatting>
  <conditionalFormatting sqref="R100">
    <cfRule type="cellIs" dxfId="1234" priority="1" stopIfTrue="1" operator="between">
      <formula>$D$100</formula>
      <formula>$E$100</formula>
    </cfRule>
    <cfRule type="cellIs" dxfId="1233" priority="10" stopIfTrue="1" operator="lessThanOrEqual">
      <formula>$D$100</formula>
    </cfRule>
    <cfRule type="cellIs" dxfId="1232" priority="11" stopIfTrue="1" operator="greaterThan">
      <formula>$E$100</formula>
    </cfRule>
  </conditionalFormatting>
  <conditionalFormatting sqref="R117">
    <cfRule type="cellIs" dxfId="1231" priority="8" stopIfTrue="1" operator="greaterThan">
      <formula>$E$117</formula>
    </cfRule>
    <cfRule type="cellIs" dxfId="1230" priority="9" stopIfTrue="1" operator="lessThanOrEqual">
      <formula>$E$117</formula>
    </cfRule>
  </conditionalFormatting>
  <conditionalFormatting sqref="R107">
    <cfRule type="cellIs" dxfId="1229" priority="6" stopIfTrue="1" operator="greaterThan">
      <formula>$E$107</formula>
    </cfRule>
    <cfRule type="cellIs" dxfId="1228" priority="7" stopIfTrue="1" operator="lessThanOrEqual">
      <formula>$E$107</formula>
    </cfRule>
  </conditionalFormatting>
  <conditionalFormatting sqref="R108">
    <cfRule type="cellIs" dxfId="1227" priority="4" stopIfTrue="1" operator="lessThan">
      <formula>$E$108</formula>
    </cfRule>
    <cfRule type="cellIs" dxfId="1226" priority="5" stopIfTrue="1" operator="greaterThanOrEqual">
      <formula>$E$108</formula>
    </cfRule>
  </conditionalFormatting>
  <conditionalFormatting sqref="R93">
    <cfRule type="cellIs" dxfId="1225" priority="24" stopIfTrue="1" operator="lessThan">
      <formula>$D$93</formula>
    </cfRule>
    <cfRule type="cellIs" dxfId="1224" priority="25" stopIfTrue="1" operator="between">
      <formula>$D$93</formula>
      <formula>$E$93</formula>
    </cfRule>
    <cfRule type="cellIs" dxfId="1223" priority="26" stopIfTrue="1" operator="greaterThan">
      <formula>$E$93</formula>
    </cfRule>
  </conditionalFormatting>
  <conditionalFormatting sqref="R114">
    <cfRule type="cellIs" dxfId="1222" priority="27" stopIfTrue="1" operator="lessThan">
      <formula>$E$114</formula>
    </cfRule>
    <cfRule type="cellIs" dxfId="1221" priority="28" stopIfTrue="1" operator="between">
      <formula>$D$114</formula>
      <formula>$E$114</formula>
    </cfRule>
    <cfRule type="cellIs" dxfId="1220" priority="29" stopIfTrue="1" operator="greaterThanOrEqual">
      <formula>$D$114</formula>
    </cfRule>
  </conditionalFormatting>
  <conditionalFormatting sqref="R90">
    <cfRule type="cellIs" dxfId="1219" priority="2" stopIfTrue="1" operator="lessThan">
      <formula>$E$90</formula>
    </cfRule>
    <cfRule type="cellIs" dxfId="1218" priority="3" stopIfTrue="1" operator="greaterThan">
      <formula>$E$90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28.4257812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28.4257812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28.4257812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28.4257812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28.4257812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28.4257812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28.4257812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28.4257812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28.4257812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28.4257812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28.4257812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28.4257812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28.4257812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28.4257812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28.4257812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28.4257812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28.4257812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28.4257812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28.4257812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28.4257812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28.4257812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28.4257812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28.4257812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28.4257812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28.4257812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28.4257812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28.4257812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28.4257812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28.4257812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28.4257812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28.4257812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28.4257812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28.4257812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28.4257812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28.4257812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28.4257812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28.4257812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28.4257812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28.4257812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28.4257812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28.4257812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28.4257812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28.4257812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28.4257812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28.4257812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28.4257812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28.4257812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28.4257812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28.4257812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28.4257812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28.4257812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28.4257812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28.4257812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28.4257812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28.4257812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28.4257812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28.4257812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28.4257812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28.4257812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28.4257812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28.4257812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28.4257812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28.4257812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28.4257812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472" t="s">
        <v>451</v>
      </c>
      <c r="H2" s="473" t="s">
        <v>452</v>
      </c>
      <c r="I2" s="474"/>
      <c r="J2" s="474"/>
      <c r="K2" s="1225" t="s">
        <v>6</v>
      </c>
      <c r="L2" s="1226"/>
      <c r="M2" s="1227" t="s">
        <v>453</v>
      </c>
      <c r="N2" s="1228"/>
      <c r="O2" s="1228"/>
      <c r="P2" s="1228"/>
      <c r="Q2" s="1228"/>
      <c r="R2" s="1229"/>
    </row>
    <row r="3" spans="1:18" x14ac:dyDescent="0.2">
      <c r="A3" s="1"/>
      <c r="B3" s="10"/>
      <c r="C3" s="3"/>
      <c r="D3" s="3"/>
      <c r="E3" s="1"/>
      <c r="F3" s="1"/>
      <c r="G3" s="475" t="s">
        <v>7</v>
      </c>
      <c r="H3" s="208">
        <v>40908</v>
      </c>
      <c r="I3" s="208">
        <v>41274</v>
      </c>
      <c r="J3" s="208">
        <v>41639</v>
      </c>
      <c r="K3" s="208">
        <v>42004</v>
      </c>
      <c r="L3" s="476">
        <v>42369</v>
      </c>
      <c r="M3" s="476">
        <v>42735</v>
      </c>
      <c r="N3" s="476">
        <v>43100</v>
      </c>
      <c r="O3" s="476">
        <v>43465</v>
      </c>
      <c r="P3" s="476">
        <v>43830</v>
      </c>
      <c r="Q3" s="476">
        <v>44196</v>
      </c>
      <c r="R3" s="476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477" t="s">
        <v>9</v>
      </c>
      <c r="H4" s="478">
        <f t="shared" ref="H4:R4" si="0">H5+H10</f>
        <v>0</v>
      </c>
      <c r="I4" s="478">
        <f t="shared" si="0"/>
        <v>0</v>
      </c>
      <c r="J4" s="478">
        <f t="shared" si="0"/>
        <v>0</v>
      </c>
      <c r="K4" s="478">
        <f t="shared" si="0"/>
        <v>0</v>
      </c>
      <c r="L4" s="478">
        <f t="shared" si="0"/>
        <v>0</v>
      </c>
      <c r="M4" s="478">
        <f t="shared" si="0"/>
        <v>105.196</v>
      </c>
      <c r="N4" s="478">
        <f t="shared" si="0"/>
        <v>101.28100000000001</v>
      </c>
      <c r="O4" s="478">
        <f t="shared" si="0"/>
        <v>98.512</v>
      </c>
      <c r="P4" s="478">
        <f t="shared" si="0"/>
        <v>94.742999999999995</v>
      </c>
      <c r="Q4" s="478">
        <f t="shared" si="0"/>
        <v>96</v>
      </c>
      <c r="R4" s="478">
        <f t="shared" si="0"/>
        <v>92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478">
        <f t="shared" ref="H5:Q5" si="1">SUM(H6:H9)</f>
        <v>0</v>
      </c>
      <c r="I5" s="478">
        <f t="shared" si="1"/>
        <v>0</v>
      </c>
      <c r="J5" s="478">
        <f t="shared" si="1"/>
        <v>0</v>
      </c>
      <c r="K5" s="478">
        <f t="shared" si="1"/>
        <v>0</v>
      </c>
      <c r="L5" s="478">
        <f t="shared" si="1"/>
        <v>0</v>
      </c>
      <c r="M5" s="478">
        <f t="shared" si="1"/>
        <v>50.146999999999998</v>
      </c>
      <c r="N5" s="478">
        <f t="shared" si="1"/>
        <v>23</v>
      </c>
      <c r="O5" s="478">
        <f t="shared" si="1"/>
        <v>37</v>
      </c>
      <c r="P5" s="478">
        <f t="shared" si="1"/>
        <v>50</v>
      </c>
      <c r="Q5" s="478">
        <f t="shared" si="1"/>
        <v>51</v>
      </c>
      <c r="R5" s="478">
        <f>SUM(R6:R9)</f>
        <v>48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479">
        <v>0</v>
      </c>
      <c r="I6" s="479">
        <v>0</v>
      </c>
      <c r="J6" s="479">
        <v>0</v>
      </c>
      <c r="K6" s="479">
        <v>0</v>
      </c>
      <c r="L6" s="479">
        <v>0</v>
      </c>
      <c r="M6" s="479">
        <v>34.146999999999998</v>
      </c>
      <c r="N6" s="479">
        <v>16</v>
      </c>
      <c r="O6" s="479">
        <v>23</v>
      </c>
      <c r="P6" s="479">
        <v>35</v>
      </c>
      <c r="Q6" s="479">
        <v>37</v>
      </c>
      <c r="R6" s="479">
        <v>35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479">
        <v>0</v>
      </c>
      <c r="I7" s="479">
        <v>0</v>
      </c>
      <c r="J7" s="479">
        <v>0</v>
      </c>
      <c r="K7" s="479">
        <v>0</v>
      </c>
      <c r="L7" s="479">
        <v>0</v>
      </c>
      <c r="M7" s="479">
        <v>16</v>
      </c>
      <c r="N7" s="479">
        <v>7</v>
      </c>
      <c r="O7" s="479">
        <v>14</v>
      </c>
      <c r="P7" s="479">
        <v>15</v>
      </c>
      <c r="Q7" s="479">
        <v>14</v>
      </c>
      <c r="R7" s="479">
        <v>13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479">
        <v>0</v>
      </c>
      <c r="I8" s="479">
        <v>0</v>
      </c>
      <c r="J8" s="479">
        <v>0</v>
      </c>
      <c r="K8" s="479">
        <v>0</v>
      </c>
      <c r="L8" s="479">
        <v>0</v>
      </c>
      <c r="M8" s="479">
        <v>0</v>
      </c>
      <c r="N8" s="479">
        <v>0</v>
      </c>
      <c r="O8" s="479">
        <v>0</v>
      </c>
      <c r="P8" s="479">
        <v>0</v>
      </c>
      <c r="Q8" s="479">
        <v>0</v>
      </c>
      <c r="R8" s="479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479">
        <v>0</v>
      </c>
      <c r="I9" s="479">
        <v>0</v>
      </c>
      <c r="J9" s="479">
        <v>0</v>
      </c>
      <c r="K9" s="479">
        <v>0</v>
      </c>
      <c r="L9" s="479">
        <v>0</v>
      </c>
      <c r="M9" s="479">
        <v>0</v>
      </c>
      <c r="N9" s="479">
        <v>0</v>
      </c>
      <c r="O9" s="479">
        <v>0</v>
      </c>
      <c r="P9" s="479">
        <v>0</v>
      </c>
      <c r="Q9" s="479">
        <v>0</v>
      </c>
      <c r="R9" s="479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478">
        <f>SUM(H11:H16)</f>
        <v>0</v>
      </c>
      <c r="I10" s="478">
        <f t="shared" ref="I10:R10" si="2">SUM(I11:I16)</f>
        <v>0</v>
      </c>
      <c r="J10" s="478">
        <f t="shared" si="2"/>
        <v>0</v>
      </c>
      <c r="K10" s="478">
        <f t="shared" si="2"/>
        <v>0</v>
      </c>
      <c r="L10" s="478">
        <f t="shared" si="2"/>
        <v>0</v>
      </c>
      <c r="M10" s="478">
        <f t="shared" si="2"/>
        <v>55.048999999999999</v>
      </c>
      <c r="N10" s="478">
        <f t="shared" si="2"/>
        <v>78.281000000000006</v>
      </c>
      <c r="O10" s="478">
        <f t="shared" si="2"/>
        <v>61.512</v>
      </c>
      <c r="P10" s="478">
        <f t="shared" si="2"/>
        <v>44.743000000000002</v>
      </c>
      <c r="Q10" s="478">
        <f t="shared" si="2"/>
        <v>45</v>
      </c>
      <c r="R10" s="478">
        <f t="shared" si="2"/>
        <v>44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479">
        <v>0</v>
      </c>
      <c r="I11" s="479">
        <v>0</v>
      </c>
      <c r="J11" s="479">
        <v>0</v>
      </c>
      <c r="K11" s="479">
        <v>0</v>
      </c>
      <c r="L11" s="479">
        <v>0</v>
      </c>
      <c r="M11" s="479">
        <v>0</v>
      </c>
      <c r="N11" s="479">
        <v>0</v>
      </c>
      <c r="O11" s="479">
        <v>0</v>
      </c>
      <c r="P11" s="479">
        <v>0</v>
      </c>
      <c r="Q11" s="479">
        <v>0</v>
      </c>
      <c r="R11" s="479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479">
        <v>0</v>
      </c>
      <c r="I12" s="479">
        <v>0</v>
      </c>
      <c r="J12" s="479">
        <v>0</v>
      </c>
      <c r="K12" s="479">
        <v>0</v>
      </c>
      <c r="L12" s="479">
        <v>0</v>
      </c>
      <c r="M12" s="479">
        <v>0</v>
      </c>
      <c r="N12" s="479">
        <v>0</v>
      </c>
      <c r="O12" s="479">
        <v>0</v>
      </c>
      <c r="P12" s="479">
        <v>0</v>
      </c>
      <c r="Q12" s="479">
        <v>0</v>
      </c>
      <c r="R12" s="479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479">
        <v>0</v>
      </c>
      <c r="I13" s="479">
        <v>0</v>
      </c>
      <c r="J13" s="479">
        <v>0</v>
      </c>
      <c r="K13" s="479">
        <v>0</v>
      </c>
      <c r="L13" s="479">
        <v>0</v>
      </c>
      <c r="M13" s="479">
        <v>0</v>
      </c>
      <c r="N13" s="479">
        <v>0</v>
      </c>
      <c r="O13" s="479">
        <v>0</v>
      </c>
      <c r="P13" s="479">
        <v>0</v>
      </c>
      <c r="Q13" s="479">
        <v>0</v>
      </c>
      <c r="R13" s="479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479">
        <v>0</v>
      </c>
      <c r="I14" s="479">
        <v>0</v>
      </c>
      <c r="J14" s="479">
        <v>0</v>
      </c>
      <c r="K14" s="479">
        <v>0</v>
      </c>
      <c r="L14" s="479">
        <v>0</v>
      </c>
      <c r="M14" s="479">
        <v>0</v>
      </c>
      <c r="N14" s="479">
        <v>0</v>
      </c>
      <c r="O14" s="479">
        <v>0</v>
      </c>
      <c r="P14" s="479">
        <v>0</v>
      </c>
      <c r="Q14" s="479">
        <v>0</v>
      </c>
      <c r="R14" s="479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479">
        <v>0</v>
      </c>
      <c r="I15" s="479">
        <v>0</v>
      </c>
      <c r="J15" s="479">
        <v>0</v>
      </c>
      <c r="K15" s="479">
        <v>0</v>
      </c>
      <c r="L15" s="479">
        <v>0</v>
      </c>
      <c r="M15" s="479">
        <v>55.048999999999999</v>
      </c>
      <c r="N15" s="479">
        <v>78.281000000000006</v>
      </c>
      <c r="O15" s="479">
        <v>61.512</v>
      </c>
      <c r="P15" s="479">
        <v>44.743000000000002</v>
      </c>
      <c r="Q15" s="479">
        <v>45</v>
      </c>
      <c r="R15" s="479">
        <v>44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479">
        <v>0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479">
        <v>0</v>
      </c>
      <c r="O16" s="479">
        <v>0</v>
      </c>
      <c r="P16" s="479">
        <v>0</v>
      </c>
      <c r="Q16" s="479">
        <v>0</v>
      </c>
      <c r="R16" s="479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480">
        <v>0</v>
      </c>
      <c r="I17" s="480">
        <v>0</v>
      </c>
      <c r="J17" s="480">
        <v>0</v>
      </c>
      <c r="K17" s="480">
        <v>0</v>
      </c>
      <c r="L17" s="480">
        <v>0</v>
      </c>
      <c r="M17" s="480">
        <v>0</v>
      </c>
      <c r="N17" s="480">
        <v>0</v>
      </c>
      <c r="O17" s="480">
        <v>0</v>
      </c>
      <c r="P17" s="480">
        <v>0</v>
      </c>
      <c r="Q17" s="480">
        <v>0</v>
      </c>
      <c r="R17" s="480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478">
        <f>H19+H27</f>
        <v>0</v>
      </c>
      <c r="I18" s="478">
        <f t="shared" ref="I18:R18" si="3">I19+I27</f>
        <v>0</v>
      </c>
      <c r="J18" s="478">
        <f t="shared" si="3"/>
        <v>0</v>
      </c>
      <c r="K18" s="478">
        <f t="shared" si="3"/>
        <v>0</v>
      </c>
      <c r="L18" s="478">
        <f t="shared" si="3"/>
        <v>0</v>
      </c>
      <c r="M18" s="478">
        <f t="shared" si="3"/>
        <v>105</v>
      </c>
      <c r="N18" s="478">
        <f t="shared" si="3"/>
        <v>101</v>
      </c>
      <c r="O18" s="478">
        <f t="shared" si="3"/>
        <v>99</v>
      </c>
      <c r="P18" s="478">
        <f t="shared" si="3"/>
        <v>95</v>
      </c>
      <c r="Q18" s="478">
        <f t="shared" si="3"/>
        <v>96</v>
      </c>
      <c r="R18" s="478">
        <f t="shared" si="3"/>
        <v>92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478">
        <f>SUM(H21:H26)</f>
        <v>0</v>
      </c>
      <c r="I19" s="478">
        <f t="shared" ref="I19:R19" si="4">SUM(I21:I26)</f>
        <v>0</v>
      </c>
      <c r="J19" s="478">
        <f t="shared" si="4"/>
        <v>0</v>
      </c>
      <c r="K19" s="478">
        <f t="shared" si="4"/>
        <v>0</v>
      </c>
      <c r="L19" s="478">
        <f t="shared" si="4"/>
        <v>0</v>
      </c>
      <c r="M19" s="478">
        <f t="shared" si="4"/>
        <v>17</v>
      </c>
      <c r="N19" s="478">
        <f t="shared" si="4"/>
        <v>13</v>
      </c>
      <c r="O19" s="478">
        <f t="shared" si="4"/>
        <v>11</v>
      </c>
      <c r="P19" s="478">
        <f t="shared" si="4"/>
        <v>7</v>
      </c>
      <c r="Q19" s="478">
        <f t="shared" si="4"/>
        <v>8</v>
      </c>
      <c r="R19" s="478">
        <f t="shared" si="4"/>
        <v>4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481">
        <v>0</v>
      </c>
      <c r="I20" s="481">
        <v>0</v>
      </c>
      <c r="J20" s="481">
        <v>0</v>
      </c>
      <c r="K20" s="481">
        <v>0</v>
      </c>
      <c r="L20" s="481">
        <v>0</v>
      </c>
      <c r="M20" s="481">
        <v>0</v>
      </c>
      <c r="N20" s="481">
        <v>0</v>
      </c>
      <c r="O20" s="481">
        <v>0</v>
      </c>
      <c r="P20" s="481">
        <v>0</v>
      </c>
      <c r="Q20" s="481">
        <v>0</v>
      </c>
      <c r="R20" s="481">
        <v>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479">
        <v>0</v>
      </c>
      <c r="I21" s="479">
        <v>0</v>
      </c>
      <c r="J21" s="479">
        <v>0</v>
      </c>
      <c r="K21" s="479">
        <v>0</v>
      </c>
      <c r="L21" s="479">
        <v>0</v>
      </c>
      <c r="M21" s="479">
        <v>17</v>
      </c>
      <c r="N21" s="479">
        <v>13</v>
      </c>
      <c r="O21" s="479">
        <v>11</v>
      </c>
      <c r="P21" s="479">
        <v>7</v>
      </c>
      <c r="Q21" s="479">
        <v>8</v>
      </c>
      <c r="R21" s="479">
        <v>4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479">
        <v>0</v>
      </c>
      <c r="I22" s="479">
        <v>0</v>
      </c>
      <c r="J22" s="479">
        <v>0</v>
      </c>
      <c r="K22" s="479">
        <v>0</v>
      </c>
      <c r="L22" s="479">
        <v>0</v>
      </c>
      <c r="M22" s="479">
        <v>0</v>
      </c>
      <c r="N22" s="479">
        <v>0</v>
      </c>
      <c r="O22" s="479">
        <v>0</v>
      </c>
      <c r="P22" s="479">
        <v>0</v>
      </c>
      <c r="Q22" s="479">
        <v>0</v>
      </c>
      <c r="R22" s="479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479">
        <v>0</v>
      </c>
      <c r="I23" s="479">
        <v>0</v>
      </c>
      <c r="J23" s="479">
        <v>0</v>
      </c>
      <c r="K23" s="479">
        <v>0</v>
      </c>
      <c r="L23" s="479">
        <v>0</v>
      </c>
      <c r="M23" s="479">
        <v>0</v>
      </c>
      <c r="N23" s="479">
        <v>0</v>
      </c>
      <c r="O23" s="479">
        <v>0</v>
      </c>
      <c r="P23" s="479">
        <v>0</v>
      </c>
      <c r="Q23" s="479">
        <v>0</v>
      </c>
      <c r="R23" s="479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479">
        <v>0</v>
      </c>
      <c r="I24" s="479">
        <v>0</v>
      </c>
      <c r="J24" s="479">
        <v>0</v>
      </c>
      <c r="K24" s="479">
        <v>0</v>
      </c>
      <c r="L24" s="479">
        <v>0</v>
      </c>
      <c r="M24" s="479">
        <v>0</v>
      </c>
      <c r="N24" s="479">
        <v>0</v>
      </c>
      <c r="O24" s="479">
        <v>0</v>
      </c>
      <c r="P24" s="479">
        <v>0</v>
      </c>
      <c r="Q24" s="479">
        <v>0</v>
      </c>
      <c r="R24" s="479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479">
        <v>0</v>
      </c>
      <c r="I25" s="479">
        <v>0</v>
      </c>
      <c r="J25" s="479">
        <v>0</v>
      </c>
      <c r="K25" s="479">
        <v>0</v>
      </c>
      <c r="L25" s="479">
        <v>0</v>
      </c>
      <c r="M25" s="479">
        <v>0</v>
      </c>
      <c r="N25" s="479">
        <v>0</v>
      </c>
      <c r="O25" s="479">
        <v>0</v>
      </c>
      <c r="P25" s="479">
        <v>0</v>
      </c>
      <c r="Q25" s="479">
        <v>0</v>
      </c>
      <c r="R25" s="479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479">
        <v>0</v>
      </c>
      <c r="I26" s="479">
        <v>0</v>
      </c>
      <c r="J26" s="479">
        <v>0</v>
      </c>
      <c r="K26" s="479">
        <v>0</v>
      </c>
      <c r="L26" s="479">
        <v>0</v>
      </c>
      <c r="M26" s="479">
        <v>0</v>
      </c>
      <c r="N26" s="479">
        <v>0</v>
      </c>
      <c r="O26" s="479">
        <v>0</v>
      </c>
      <c r="P26" s="479">
        <v>0</v>
      </c>
      <c r="Q26" s="479">
        <v>0</v>
      </c>
      <c r="R26" s="479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478">
        <f>SUM(H28:H30)</f>
        <v>0</v>
      </c>
      <c r="I27" s="478">
        <f t="shared" ref="I27:R27" si="5">SUM(I28:I30)</f>
        <v>0</v>
      </c>
      <c r="J27" s="478">
        <f t="shared" si="5"/>
        <v>0</v>
      </c>
      <c r="K27" s="478">
        <f t="shared" si="5"/>
        <v>0</v>
      </c>
      <c r="L27" s="478">
        <f t="shared" si="5"/>
        <v>0</v>
      </c>
      <c r="M27" s="478">
        <f t="shared" si="5"/>
        <v>88</v>
      </c>
      <c r="N27" s="478">
        <f t="shared" si="5"/>
        <v>88</v>
      </c>
      <c r="O27" s="478">
        <f t="shared" si="5"/>
        <v>88</v>
      </c>
      <c r="P27" s="478">
        <f t="shared" si="5"/>
        <v>88</v>
      </c>
      <c r="Q27" s="478">
        <f t="shared" si="5"/>
        <v>88</v>
      </c>
      <c r="R27" s="478">
        <f t="shared" si="5"/>
        <v>88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479">
        <v>0</v>
      </c>
      <c r="I28" s="479">
        <v>0</v>
      </c>
      <c r="J28" s="479">
        <v>0</v>
      </c>
      <c r="K28" s="479">
        <v>0</v>
      </c>
      <c r="L28" s="479">
        <v>0</v>
      </c>
      <c r="M28" s="479">
        <v>40</v>
      </c>
      <c r="N28" s="479">
        <v>40</v>
      </c>
      <c r="O28" s="479">
        <v>40</v>
      </c>
      <c r="P28" s="479">
        <v>40</v>
      </c>
      <c r="Q28" s="479">
        <v>40</v>
      </c>
      <c r="R28" s="479">
        <v>40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479">
        <v>0</v>
      </c>
      <c r="I29" s="479">
        <v>0</v>
      </c>
      <c r="J29" s="479">
        <v>0</v>
      </c>
      <c r="K29" s="479">
        <v>0</v>
      </c>
      <c r="L29" s="479">
        <v>0</v>
      </c>
      <c r="M29" s="479">
        <v>0</v>
      </c>
      <c r="N29" s="479">
        <v>48</v>
      </c>
      <c r="O29" s="479">
        <v>48</v>
      </c>
      <c r="P29" s="479">
        <v>48</v>
      </c>
      <c r="Q29" s="479">
        <v>48</v>
      </c>
      <c r="R29" s="479">
        <v>48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479">
        <v>0</v>
      </c>
      <c r="I30" s="479">
        <v>0</v>
      </c>
      <c r="J30" s="479">
        <v>0</v>
      </c>
      <c r="K30" s="479">
        <v>0</v>
      </c>
      <c r="L30" s="479">
        <v>0</v>
      </c>
      <c r="M30" s="479">
        <v>48</v>
      </c>
      <c r="N30" s="479"/>
      <c r="O30" s="479"/>
      <c r="P30" s="479"/>
      <c r="Q30" s="479"/>
      <c r="R30" s="479">
        <v>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482">
        <f t="shared" ref="H31:R31" si="6">H4-H18</f>
        <v>0</v>
      </c>
      <c r="I31" s="482">
        <f t="shared" si="6"/>
        <v>0</v>
      </c>
      <c r="J31" s="482">
        <f t="shared" si="6"/>
        <v>0</v>
      </c>
      <c r="K31" s="482">
        <f t="shared" si="6"/>
        <v>0</v>
      </c>
      <c r="L31" s="482">
        <f t="shared" si="6"/>
        <v>0</v>
      </c>
      <c r="M31" s="482">
        <f t="shared" si="6"/>
        <v>0.19599999999999795</v>
      </c>
      <c r="N31" s="482">
        <v>0</v>
      </c>
      <c r="O31" s="482">
        <f t="shared" si="6"/>
        <v>-0.48799999999999955</v>
      </c>
      <c r="P31" s="482">
        <f t="shared" si="6"/>
        <v>-0.257000000000005</v>
      </c>
      <c r="Q31" s="482">
        <f t="shared" si="6"/>
        <v>0</v>
      </c>
      <c r="R31" s="482">
        <f t="shared" si="6"/>
        <v>0</v>
      </c>
      <c r="S31" s="4"/>
    </row>
    <row r="32" spans="1:19" x14ac:dyDescent="0.2">
      <c r="G32" s="475" t="s">
        <v>78</v>
      </c>
      <c r="H32" s="483">
        <v>2011</v>
      </c>
      <c r="I32" s="483">
        <f t="shared" ref="I32:R32" si="7">H32+1</f>
        <v>2012</v>
      </c>
      <c r="J32" s="483">
        <f t="shared" si="7"/>
        <v>2013</v>
      </c>
      <c r="K32" s="483">
        <f t="shared" si="7"/>
        <v>2014</v>
      </c>
      <c r="L32" s="483">
        <f t="shared" si="7"/>
        <v>2015</v>
      </c>
      <c r="M32" s="483">
        <f t="shared" si="7"/>
        <v>2016</v>
      </c>
      <c r="N32" s="483">
        <f t="shared" si="7"/>
        <v>2017</v>
      </c>
      <c r="O32" s="483">
        <f t="shared" si="7"/>
        <v>2018</v>
      </c>
      <c r="P32" s="483">
        <f t="shared" si="7"/>
        <v>2019</v>
      </c>
      <c r="Q32" s="483">
        <f t="shared" si="7"/>
        <v>2020</v>
      </c>
      <c r="R32" s="483">
        <f t="shared" si="7"/>
        <v>2021</v>
      </c>
    </row>
    <row r="33" spans="1:18" x14ac:dyDescent="0.2">
      <c r="B33" s="2" t="s">
        <v>79</v>
      </c>
      <c r="C33" s="19">
        <v>3</v>
      </c>
      <c r="G33" s="477" t="s">
        <v>80</v>
      </c>
      <c r="H33" s="478">
        <f>SUM(H34:H37)</f>
        <v>0</v>
      </c>
      <c r="I33" s="478">
        <f t="shared" ref="I33:R33" si="8">SUM(I34:I37)</f>
        <v>0</v>
      </c>
      <c r="J33" s="478">
        <f t="shared" si="8"/>
        <v>0</v>
      </c>
      <c r="K33" s="478">
        <f t="shared" si="8"/>
        <v>0</v>
      </c>
      <c r="L33" s="478">
        <f t="shared" si="8"/>
        <v>0</v>
      </c>
      <c r="M33" s="478">
        <f t="shared" si="8"/>
        <v>372.798</v>
      </c>
      <c r="N33" s="478">
        <f t="shared" si="8"/>
        <v>819.94600000000003</v>
      </c>
      <c r="O33" s="478">
        <f t="shared" si="8"/>
        <v>746.68299999999999</v>
      </c>
      <c r="P33" s="478">
        <f t="shared" si="8"/>
        <v>755</v>
      </c>
      <c r="Q33" s="478">
        <f t="shared" si="8"/>
        <v>755</v>
      </c>
      <c r="R33" s="478">
        <f t="shared" si="8"/>
        <v>760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479">
        <v>0</v>
      </c>
      <c r="I34" s="479">
        <v>0</v>
      </c>
      <c r="J34" s="479">
        <v>0</v>
      </c>
      <c r="K34" s="479">
        <v>0</v>
      </c>
      <c r="L34" s="479">
        <v>0</v>
      </c>
      <c r="M34" s="479">
        <v>0</v>
      </c>
      <c r="N34" s="479">
        <v>0</v>
      </c>
      <c r="O34" s="479">
        <v>0</v>
      </c>
      <c r="P34" s="479">
        <v>0</v>
      </c>
      <c r="Q34" s="479">
        <v>0</v>
      </c>
      <c r="R34" s="479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479">
        <v>0</v>
      </c>
      <c r="I35" s="479">
        <v>0</v>
      </c>
      <c r="J35" s="479">
        <v>0</v>
      </c>
      <c r="K35" s="479">
        <v>0</v>
      </c>
      <c r="L35" s="479">
        <v>0</v>
      </c>
      <c r="M35" s="479">
        <v>13.798</v>
      </c>
      <c r="N35" s="479">
        <v>44.2</v>
      </c>
      <c r="O35" s="479">
        <v>45</v>
      </c>
      <c r="P35" s="479">
        <v>45</v>
      </c>
      <c r="Q35" s="479">
        <v>45</v>
      </c>
      <c r="R35" s="479">
        <v>50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479">
        <v>0</v>
      </c>
      <c r="I36" s="479">
        <v>0</v>
      </c>
      <c r="J36" s="479">
        <v>0</v>
      </c>
      <c r="K36" s="479">
        <v>0</v>
      </c>
      <c r="L36" s="479">
        <v>0</v>
      </c>
      <c r="M36" s="479">
        <v>359</v>
      </c>
      <c r="N36" s="479">
        <v>741.68299999999999</v>
      </c>
      <c r="O36" s="479">
        <v>701.68299999999999</v>
      </c>
      <c r="P36" s="479">
        <v>710</v>
      </c>
      <c r="Q36" s="479">
        <v>710</v>
      </c>
      <c r="R36" s="479">
        <v>710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479">
        <v>0</v>
      </c>
      <c r="I37" s="479">
        <v>0</v>
      </c>
      <c r="J37" s="479">
        <v>0</v>
      </c>
      <c r="K37" s="479">
        <v>0</v>
      </c>
      <c r="L37" s="479">
        <v>0</v>
      </c>
      <c r="M37" s="479"/>
      <c r="N37" s="479">
        <v>34.063000000000002</v>
      </c>
      <c r="O37" s="479"/>
      <c r="P37" s="479">
        <v>0</v>
      </c>
      <c r="Q37" s="479">
        <v>0</v>
      </c>
      <c r="R37" s="479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478">
        <f>H39+H40</f>
        <v>0</v>
      </c>
      <c r="I38" s="478">
        <f t="shared" ref="I38:R38" si="9">I39+I40</f>
        <v>0</v>
      </c>
      <c r="J38" s="478">
        <f t="shared" si="9"/>
        <v>0</v>
      </c>
      <c r="K38" s="478">
        <f t="shared" si="9"/>
        <v>0</v>
      </c>
      <c r="L38" s="478">
        <f t="shared" si="9"/>
        <v>0</v>
      </c>
      <c r="M38" s="478">
        <f t="shared" si="9"/>
        <v>0</v>
      </c>
      <c r="N38" s="478"/>
      <c r="O38" s="478">
        <f t="shared" si="9"/>
        <v>0</v>
      </c>
      <c r="P38" s="478">
        <f t="shared" si="9"/>
        <v>0</v>
      </c>
      <c r="Q38" s="478">
        <f t="shared" si="9"/>
        <v>0</v>
      </c>
      <c r="R38" s="478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479">
        <v>0</v>
      </c>
      <c r="I39" s="479">
        <v>0</v>
      </c>
      <c r="J39" s="479">
        <v>0</v>
      </c>
      <c r="K39" s="479">
        <v>0</v>
      </c>
      <c r="L39" s="479">
        <v>0</v>
      </c>
      <c r="M39" s="479">
        <v>0</v>
      </c>
      <c r="N39" s="479">
        <v>0</v>
      </c>
      <c r="O39" s="479">
        <v>0</v>
      </c>
      <c r="P39" s="479">
        <v>0</v>
      </c>
      <c r="Q39" s="479">
        <v>0</v>
      </c>
      <c r="R39" s="479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479">
        <v>0</v>
      </c>
      <c r="I40" s="479">
        <v>0</v>
      </c>
      <c r="J40" s="479">
        <v>0</v>
      </c>
      <c r="K40" s="479">
        <v>0</v>
      </c>
      <c r="L40" s="479">
        <v>0</v>
      </c>
      <c r="M40" s="479">
        <v>0</v>
      </c>
      <c r="N40" s="479">
        <v>0</v>
      </c>
      <c r="O40" s="479">
        <v>0</v>
      </c>
      <c r="P40" s="479">
        <v>0</v>
      </c>
      <c r="Q40" s="479">
        <v>0</v>
      </c>
      <c r="R40" s="479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478">
        <f>SUM(H42:H45)</f>
        <v>0</v>
      </c>
      <c r="I41" s="478">
        <f t="shared" ref="I41:R41" si="10">SUM(I42:I45)</f>
        <v>0</v>
      </c>
      <c r="J41" s="478">
        <f t="shared" si="10"/>
        <v>0</v>
      </c>
      <c r="K41" s="478">
        <f t="shared" si="10"/>
        <v>0</v>
      </c>
      <c r="L41" s="478">
        <f t="shared" si="10"/>
        <v>0</v>
      </c>
      <c r="M41" s="478">
        <f t="shared" si="10"/>
        <v>-324.60899999999998</v>
      </c>
      <c r="N41" s="478">
        <f t="shared" si="10"/>
        <v>-819.46100000000001</v>
      </c>
      <c r="O41" s="478">
        <f t="shared" si="10"/>
        <v>-746.76800000000003</v>
      </c>
      <c r="P41" s="478">
        <f t="shared" si="10"/>
        <v>-754.76800000000003</v>
      </c>
      <c r="Q41" s="478">
        <f t="shared" si="10"/>
        <v>-754.76800000000003</v>
      </c>
      <c r="R41" s="478">
        <f t="shared" si="10"/>
        <v>-755.60500000000002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479">
        <v>0</v>
      </c>
      <c r="I42" s="479">
        <v>0</v>
      </c>
      <c r="J42" s="479">
        <v>0</v>
      </c>
      <c r="K42" s="479">
        <v>0</v>
      </c>
      <c r="L42" s="479">
        <v>0</v>
      </c>
      <c r="M42" s="479">
        <v>-152</v>
      </c>
      <c r="N42" s="479">
        <v>-338.69299999999998</v>
      </c>
      <c r="O42" s="479">
        <v>-348</v>
      </c>
      <c r="P42" s="479">
        <v>-355</v>
      </c>
      <c r="Q42" s="479">
        <v>-355</v>
      </c>
      <c r="R42" s="479">
        <v>-360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479">
        <v>0</v>
      </c>
      <c r="I43" s="479">
        <v>0</v>
      </c>
      <c r="J43" s="479">
        <v>0</v>
      </c>
      <c r="K43" s="479">
        <v>0</v>
      </c>
      <c r="L43" s="479">
        <v>0</v>
      </c>
      <c r="M43" s="479">
        <v>-142</v>
      </c>
      <c r="N43" s="479">
        <v>-387</v>
      </c>
      <c r="O43" s="479">
        <v>-319</v>
      </c>
      <c r="P43" s="479">
        <v>-320</v>
      </c>
      <c r="Q43" s="479">
        <v>-320</v>
      </c>
      <c r="R43" s="479">
        <v>-320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479">
        <v>0</v>
      </c>
      <c r="I44" s="479">
        <v>0</v>
      </c>
      <c r="J44" s="479">
        <v>0</v>
      </c>
      <c r="K44" s="479">
        <v>0</v>
      </c>
      <c r="L44" s="479">
        <v>0</v>
      </c>
      <c r="M44" s="479">
        <v>-26.817</v>
      </c>
      <c r="N44" s="479">
        <v>-77</v>
      </c>
      <c r="O44" s="479">
        <v>-63</v>
      </c>
      <c r="P44" s="479">
        <v>-63</v>
      </c>
      <c r="Q44" s="479">
        <v>-63</v>
      </c>
      <c r="R44" s="479">
        <v>-63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479">
        <v>0</v>
      </c>
      <c r="I45" s="479">
        <v>0</v>
      </c>
      <c r="J45" s="479">
        <v>0</v>
      </c>
      <c r="K45" s="479">
        <v>0</v>
      </c>
      <c r="L45" s="479">
        <v>0</v>
      </c>
      <c r="M45" s="479">
        <v>-3.7919999999999998</v>
      </c>
      <c r="N45" s="479">
        <v>-16.768000000000001</v>
      </c>
      <c r="O45" s="479">
        <v>-16.768000000000001</v>
      </c>
      <c r="P45" s="479">
        <v>-16.768000000000001</v>
      </c>
      <c r="Q45" s="479">
        <v>-16.768000000000001</v>
      </c>
      <c r="R45" s="479">
        <v>-12.605</v>
      </c>
    </row>
    <row r="46" spans="1:18" x14ac:dyDescent="0.2">
      <c r="B46" s="2" t="s">
        <v>107</v>
      </c>
      <c r="G46" s="18" t="s">
        <v>108</v>
      </c>
      <c r="H46" s="478">
        <f>H33+H38+H41</f>
        <v>0</v>
      </c>
      <c r="I46" s="478">
        <f t="shared" ref="I46:Q46" si="11">I33+I38+I41</f>
        <v>0</v>
      </c>
      <c r="J46" s="478">
        <f t="shared" si="11"/>
        <v>0</v>
      </c>
      <c r="K46" s="478">
        <f t="shared" si="11"/>
        <v>0</v>
      </c>
      <c r="L46" s="478">
        <f t="shared" si="11"/>
        <v>0</v>
      </c>
      <c r="M46" s="478">
        <f t="shared" si="11"/>
        <v>48.189000000000021</v>
      </c>
      <c r="N46" s="478">
        <f t="shared" si="11"/>
        <v>0.48500000000001364</v>
      </c>
      <c r="O46" s="478">
        <f t="shared" si="11"/>
        <v>-8.500000000003638E-2</v>
      </c>
      <c r="P46" s="478">
        <f t="shared" si="11"/>
        <v>0.2319999999999709</v>
      </c>
      <c r="Q46" s="478">
        <f t="shared" si="11"/>
        <v>0.2319999999999709</v>
      </c>
      <c r="R46" s="478"/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479">
        <v>0</v>
      </c>
      <c r="I47" s="479">
        <v>0</v>
      </c>
      <c r="J47" s="479">
        <v>0</v>
      </c>
      <c r="K47" s="479">
        <v>0</v>
      </c>
      <c r="L47" s="479">
        <v>0</v>
      </c>
      <c r="M47" s="479">
        <v>0</v>
      </c>
      <c r="N47" s="479">
        <v>0</v>
      </c>
      <c r="O47" s="479">
        <v>0</v>
      </c>
      <c r="P47" s="479">
        <v>0</v>
      </c>
      <c r="Q47" s="479">
        <v>0</v>
      </c>
      <c r="R47" s="479">
        <v>0</v>
      </c>
    </row>
    <row r="48" spans="1:18" x14ac:dyDescent="0.2">
      <c r="B48" s="2" t="s">
        <v>111</v>
      </c>
      <c r="G48" s="18" t="s">
        <v>112</v>
      </c>
      <c r="H48" s="478">
        <f>H46+H47</f>
        <v>0</v>
      </c>
      <c r="I48" s="478">
        <f t="shared" ref="I48:R48" si="12">I46+I47</f>
        <v>0</v>
      </c>
      <c r="J48" s="478">
        <f t="shared" si="12"/>
        <v>0</v>
      </c>
      <c r="K48" s="478">
        <f t="shared" si="12"/>
        <v>0</v>
      </c>
      <c r="L48" s="478">
        <f t="shared" si="12"/>
        <v>0</v>
      </c>
      <c r="M48" s="478">
        <f t="shared" si="12"/>
        <v>48.189000000000021</v>
      </c>
      <c r="N48" s="478">
        <f t="shared" si="12"/>
        <v>0.48500000000001364</v>
      </c>
      <c r="O48" s="478">
        <f t="shared" si="12"/>
        <v>-8.500000000003638E-2</v>
      </c>
      <c r="P48" s="478">
        <f t="shared" si="12"/>
        <v>0.2319999999999709</v>
      </c>
      <c r="Q48" s="478">
        <f t="shared" si="12"/>
        <v>0.2319999999999709</v>
      </c>
      <c r="R48" s="478">
        <f t="shared" si="12"/>
        <v>0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479">
        <v>0</v>
      </c>
      <c r="I49" s="479">
        <v>0</v>
      </c>
      <c r="J49" s="479">
        <v>0</v>
      </c>
      <c r="K49" s="479">
        <v>0</v>
      </c>
      <c r="L49" s="479">
        <v>0</v>
      </c>
      <c r="M49" s="479">
        <v>0</v>
      </c>
      <c r="N49" s="479">
        <v>0</v>
      </c>
      <c r="O49" s="479">
        <v>0</v>
      </c>
      <c r="P49" s="479">
        <v>0</v>
      </c>
      <c r="Q49" s="479">
        <v>0</v>
      </c>
      <c r="R49" s="479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479">
        <v>0</v>
      </c>
      <c r="I50" s="479">
        <v>0</v>
      </c>
      <c r="J50" s="479">
        <v>0</v>
      </c>
      <c r="K50" s="479">
        <v>0</v>
      </c>
      <c r="L50" s="479">
        <v>0</v>
      </c>
      <c r="M50" s="479">
        <v>0</v>
      </c>
      <c r="N50" s="479">
        <v>0</v>
      </c>
      <c r="O50" s="479">
        <v>0</v>
      </c>
      <c r="P50" s="479">
        <v>0</v>
      </c>
      <c r="Q50" s="479">
        <v>0</v>
      </c>
      <c r="R50" s="479">
        <v>0</v>
      </c>
    </row>
    <row r="51" spans="1:18" x14ac:dyDescent="0.2">
      <c r="B51" s="2" t="s">
        <v>117</v>
      </c>
      <c r="G51" s="18" t="s">
        <v>118</v>
      </c>
      <c r="H51" s="478">
        <f>H48+H49+H50</f>
        <v>0</v>
      </c>
      <c r="I51" s="478">
        <f t="shared" ref="I51:R51" si="13">I48+I49+I50</f>
        <v>0</v>
      </c>
      <c r="J51" s="478">
        <f t="shared" si="13"/>
        <v>0</v>
      </c>
      <c r="K51" s="478">
        <f t="shared" si="13"/>
        <v>0</v>
      </c>
      <c r="L51" s="478">
        <f t="shared" si="13"/>
        <v>0</v>
      </c>
      <c r="M51" s="478">
        <f t="shared" si="13"/>
        <v>48.189000000000021</v>
      </c>
      <c r="N51" s="478">
        <f t="shared" si="13"/>
        <v>0.48500000000001364</v>
      </c>
      <c r="O51" s="478">
        <f t="shared" si="13"/>
        <v>-8.500000000003638E-2</v>
      </c>
      <c r="P51" s="478">
        <f t="shared" si="13"/>
        <v>0.2319999999999709</v>
      </c>
      <c r="Q51" s="478">
        <f t="shared" si="13"/>
        <v>0.2319999999999709</v>
      </c>
      <c r="R51" s="478">
        <f t="shared" si="13"/>
        <v>0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482">
        <f>H30-H51</f>
        <v>0</v>
      </c>
      <c r="I52" s="482">
        <f t="shared" ref="I52:R52" si="14">I30-I51</f>
        <v>0</v>
      </c>
      <c r="J52" s="482">
        <f t="shared" si="14"/>
        <v>0</v>
      </c>
      <c r="K52" s="482">
        <f t="shared" si="14"/>
        <v>0</v>
      </c>
      <c r="L52" s="482">
        <f t="shared" si="14"/>
        <v>0</v>
      </c>
      <c r="M52" s="482">
        <f t="shared" si="14"/>
        <v>-0.18900000000002137</v>
      </c>
      <c r="N52" s="482">
        <f t="shared" si="14"/>
        <v>-0.48500000000001364</v>
      </c>
      <c r="O52" s="482">
        <f t="shared" si="14"/>
        <v>8.500000000003638E-2</v>
      </c>
      <c r="P52" s="482">
        <f t="shared" si="14"/>
        <v>-0.2319999999999709</v>
      </c>
      <c r="Q52" s="482">
        <f t="shared" si="14"/>
        <v>-0.2319999999999709</v>
      </c>
      <c r="R52" s="482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479">
        <v>0</v>
      </c>
      <c r="I54" s="479">
        <v>0</v>
      </c>
      <c r="J54" s="479">
        <v>0</v>
      </c>
      <c r="K54" s="479">
        <v>0</v>
      </c>
      <c r="L54" s="479">
        <v>0</v>
      </c>
      <c r="M54" s="479">
        <v>0</v>
      </c>
      <c r="N54" s="479">
        <v>0</v>
      </c>
      <c r="O54" s="479">
        <v>0</v>
      </c>
      <c r="P54" s="479">
        <v>0</v>
      </c>
      <c r="Q54" s="479">
        <v>0</v>
      </c>
      <c r="R54" s="479">
        <v>0</v>
      </c>
    </row>
    <row r="55" spans="1:18" ht="12" x14ac:dyDescent="0.2">
      <c r="E55" s="20" t="s">
        <v>14</v>
      </c>
      <c r="G55" s="46" t="s">
        <v>122</v>
      </c>
      <c r="H55" s="479"/>
      <c r="I55" s="479"/>
      <c r="J55" s="479"/>
      <c r="K55" s="479"/>
      <c r="L55" s="484"/>
      <c r="M55" s="484"/>
      <c r="N55" s="484"/>
      <c r="O55" s="484"/>
      <c r="P55" s="484"/>
      <c r="Q55" s="484"/>
      <c r="R55" s="484"/>
    </row>
    <row r="57" spans="1:18" x14ac:dyDescent="0.2">
      <c r="D57" s="49" t="s">
        <v>123</v>
      </c>
      <c r="E57" s="50" t="s">
        <v>3</v>
      </c>
      <c r="F57" s="17"/>
      <c r="G57" s="475" t="s">
        <v>124</v>
      </c>
      <c r="H57" s="483">
        <f>H32</f>
        <v>2011</v>
      </c>
      <c r="I57" s="483">
        <f t="shared" ref="I57:R57" si="15">I32</f>
        <v>2012</v>
      </c>
      <c r="J57" s="483">
        <f t="shared" si="15"/>
        <v>2013</v>
      </c>
      <c r="K57" s="483">
        <f t="shared" si="15"/>
        <v>2014</v>
      </c>
      <c r="L57" s="483">
        <f t="shared" si="15"/>
        <v>2015</v>
      </c>
      <c r="M57" s="483">
        <f t="shared" si="15"/>
        <v>2016</v>
      </c>
      <c r="N57" s="483">
        <f t="shared" si="15"/>
        <v>2017</v>
      </c>
      <c r="O57" s="483">
        <f t="shared" si="15"/>
        <v>2018</v>
      </c>
      <c r="P57" s="483">
        <f t="shared" si="15"/>
        <v>2019</v>
      </c>
      <c r="Q57" s="483">
        <f t="shared" si="15"/>
        <v>2020</v>
      </c>
      <c r="R57" s="483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477" t="s">
        <v>128</v>
      </c>
      <c r="H58" s="479">
        <v>0</v>
      </c>
      <c r="I58" s="479">
        <v>0</v>
      </c>
      <c r="J58" s="479">
        <v>0</v>
      </c>
      <c r="K58" s="479">
        <v>0</v>
      </c>
      <c r="L58" s="479">
        <v>0</v>
      </c>
      <c r="M58" s="479">
        <v>-6.2510000000000003</v>
      </c>
      <c r="N58" s="479">
        <v>-40</v>
      </c>
      <c r="O58" s="479">
        <v>0</v>
      </c>
      <c r="P58" s="479">
        <v>0</v>
      </c>
      <c r="Q58" s="479">
        <v>-10</v>
      </c>
      <c r="R58" s="479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479">
        <v>0</v>
      </c>
      <c r="I59" s="479">
        <v>0</v>
      </c>
      <c r="J59" s="479">
        <v>0</v>
      </c>
      <c r="K59" s="479">
        <v>0</v>
      </c>
      <c r="L59" s="479">
        <v>0</v>
      </c>
      <c r="M59" s="479">
        <v>0</v>
      </c>
      <c r="N59" s="479">
        <v>0</v>
      </c>
      <c r="O59" s="479">
        <v>0</v>
      </c>
      <c r="P59" s="479">
        <v>0</v>
      </c>
      <c r="Q59" s="479">
        <v>0</v>
      </c>
      <c r="R59" s="479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479">
        <v>0</v>
      </c>
      <c r="I60" s="479">
        <v>0</v>
      </c>
      <c r="J60" s="479">
        <v>0</v>
      </c>
      <c r="K60" s="479">
        <v>0</v>
      </c>
      <c r="L60" s="479">
        <v>0</v>
      </c>
      <c r="M60" s="479">
        <v>0</v>
      </c>
      <c r="N60" s="479"/>
      <c r="O60" s="479">
        <v>0</v>
      </c>
      <c r="P60" s="479">
        <v>0</v>
      </c>
      <c r="Q60" s="479">
        <v>0</v>
      </c>
      <c r="R60" s="479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479">
        <v>0</v>
      </c>
      <c r="I61" s="479">
        <v>0</v>
      </c>
      <c r="J61" s="479">
        <v>0</v>
      </c>
      <c r="K61" s="479">
        <v>0</v>
      </c>
      <c r="L61" s="479">
        <v>0</v>
      </c>
      <c r="M61" s="479">
        <v>0</v>
      </c>
      <c r="N61" s="479">
        <v>0</v>
      </c>
      <c r="O61" s="479">
        <v>0</v>
      </c>
      <c r="P61" s="479">
        <v>0</v>
      </c>
      <c r="Q61" s="479">
        <v>0</v>
      </c>
      <c r="R61" s="479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479">
        <v>0</v>
      </c>
      <c r="I62" s="479">
        <v>0</v>
      </c>
      <c r="J62" s="479">
        <v>0</v>
      </c>
      <c r="K62" s="479">
        <v>0</v>
      </c>
      <c r="L62" s="479">
        <v>0</v>
      </c>
      <c r="M62" s="479">
        <v>0</v>
      </c>
      <c r="N62" s="479">
        <v>0</v>
      </c>
      <c r="O62" s="479">
        <v>0</v>
      </c>
      <c r="P62" s="479">
        <v>0</v>
      </c>
      <c r="Q62" s="479">
        <v>0</v>
      </c>
      <c r="R62" s="479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479">
        <v>0</v>
      </c>
      <c r="I63" s="479">
        <v>0</v>
      </c>
      <c r="J63" s="479">
        <v>0</v>
      </c>
      <c r="K63" s="479">
        <v>0</v>
      </c>
      <c r="L63" s="479">
        <v>0</v>
      </c>
      <c r="M63" s="479">
        <v>0</v>
      </c>
      <c r="N63" s="479">
        <v>0</v>
      </c>
      <c r="O63" s="479">
        <v>0</v>
      </c>
      <c r="P63" s="479">
        <v>0</v>
      </c>
      <c r="Q63" s="479">
        <v>0</v>
      </c>
      <c r="R63" s="479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479">
        <v>0</v>
      </c>
      <c r="I64" s="479">
        <v>0</v>
      </c>
      <c r="J64" s="479">
        <v>0</v>
      </c>
      <c r="K64" s="479">
        <v>0</v>
      </c>
      <c r="L64" s="479">
        <v>0</v>
      </c>
      <c r="M64" s="479">
        <v>0</v>
      </c>
      <c r="N64" s="479">
        <v>0</v>
      </c>
      <c r="O64" s="479">
        <v>0</v>
      </c>
      <c r="P64" s="479">
        <v>0</v>
      </c>
      <c r="Q64" s="479">
        <v>0</v>
      </c>
      <c r="R64" s="479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479">
        <v>0</v>
      </c>
      <c r="I65" s="479">
        <v>0</v>
      </c>
      <c r="J65" s="479">
        <v>0</v>
      </c>
      <c r="K65" s="479">
        <v>0</v>
      </c>
      <c r="L65" s="479">
        <v>0</v>
      </c>
      <c r="M65" s="479">
        <v>0</v>
      </c>
      <c r="N65" s="479">
        <v>0</v>
      </c>
      <c r="O65" s="479">
        <v>0</v>
      </c>
      <c r="P65" s="479">
        <v>0</v>
      </c>
      <c r="Q65" s="479">
        <v>0</v>
      </c>
      <c r="R65" s="479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479">
        <v>0</v>
      </c>
      <c r="I66" s="479">
        <v>0</v>
      </c>
      <c r="J66" s="479">
        <v>0</v>
      </c>
      <c r="K66" s="479">
        <v>0</v>
      </c>
      <c r="L66" s="479">
        <v>0</v>
      </c>
      <c r="M66" s="479">
        <v>0</v>
      </c>
      <c r="N66" s="479">
        <v>0</v>
      </c>
      <c r="O66" s="479">
        <v>0</v>
      </c>
      <c r="P66" s="479">
        <v>0</v>
      </c>
      <c r="Q66" s="479">
        <v>0</v>
      </c>
      <c r="R66" s="479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479">
        <v>0</v>
      </c>
      <c r="I67" s="479">
        <v>0</v>
      </c>
      <c r="J67" s="479">
        <v>0</v>
      </c>
      <c r="K67" s="479">
        <v>0</v>
      </c>
      <c r="L67" s="479">
        <v>0</v>
      </c>
      <c r="M67" s="479">
        <v>0</v>
      </c>
      <c r="N67" s="479">
        <v>0</v>
      </c>
      <c r="O67" s="479">
        <v>0</v>
      </c>
      <c r="P67" s="479">
        <v>0</v>
      </c>
      <c r="Q67" s="479">
        <v>0</v>
      </c>
      <c r="R67" s="479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479">
        <v>0</v>
      </c>
      <c r="I68" s="479">
        <v>0</v>
      </c>
      <c r="J68" s="479">
        <v>0</v>
      </c>
      <c r="K68" s="479">
        <v>0</v>
      </c>
      <c r="L68" s="479">
        <v>0</v>
      </c>
      <c r="M68" s="479">
        <v>0</v>
      </c>
      <c r="N68" s="479">
        <v>0</v>
      </c>
      <c r="O68" s="479">
        <v>0</v>
      </c>
      <c r="P68" s="479">
        <v>0</v>
      </c>
      <c r="Q68" s="479">
        <v>0</v>
      </c>
      <c r="R68" s="479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479">
        <v>0</v>
      </c>
      <c r="I69" s="479">
        <v>0</v>
      </c>
      <c r="J69" s="479">
        <v>0</v>
      </c>
      <c r="K69" s="479">
        <v>0</v>
      </c>
      <c r="L69" s="479">
        <v>0</v>
      </c>
      <c r="M69" s="479">
        <v>0</v>
      </c>
      <c r="N69" s="479">
        <v>0</v>
      </c>
      <c r="O69" s="479">
        <v>0</v>
      </c>
      <c r="P69" s="479">
        <v>0</v>
      </c>
      <c r="Q69" s="479">
        <v>0</v>
      </c>
      <c r="R69" s="479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479">
        <v>0</v>
      </c>
      <c r="I70" s="479">
        <v>0</v>
      </c>
      <c r="J70" s="479">
        <v>0</v>
      </c>
      <c r="K70" s="479">
        <v>0</v>
      </c>
      <c r="L70" s="479" t="s">
        <v>454</v>
      </c>
      <c r="M70" s="479"/>
      <c r="N70" s="479">
        <v>0</v>
      </c>
      <c r="O70" s="479">
        <v>0</v>
      </c>
      <c r="P70" s="479">
        <v>0</v>
      </c>
      <c r="Q70" s="479">
        <v>0</v>
      </c>
      <c r="R70" s="479">
        <v>0</v>
      </c>
    </row>
    <row r="71" spans="2:18" x14ac:dyDescent="0.2">
      <c r="B71" s="51" t="s">
        <v>162</v>
      </c>
      <c r="D71" s="16"/>
      <c r="E71" s="22"/>
      <c r="F71" s="22"/>
      <c r="G71" s="485" t="s">
        <v>163</v>
      </c>
      <c r="H71" s="478">
        <f t="shared" ref="H71:R71" si="16">SUM(H58:H70)</f>
        <v>0</v>
      </c>
      <c r="I71" s="478">
        <f t="shared" si="16"/>
        <v>0</v>
      </c>
      <c r="J71" s="478">
        <f t="shared" si="16"/>
        <v>0</v>
      </c>
      <c r="K71" s="478">
        <f t="shared" si="16"/>
        <v>0</v>
      </c>
      <c r="L71" s="478">
        <f t="shared" si="16"/>
        <v>0</v>
      </c>
      <c r="M71" s="478">
        <f t="shared" si="16"/>
        <v>-6.2510000000000003</v>
      </c>
      <c r="N71" s="478">
        <f t="shared" si="16"/>
        <v>-40</v>
      </c>
      <c r="O71" s="478">
        <f t="shared" si="16"/>
        <v>0</v>
      </c>
      <c r="P71" s="478">
        <f t="shared" si="16"/>
        <v>0</v>
      </c>
      <c r="Q71" s="478">
        <f t="shared" si="16"/>
        <v>-10</v>
      </c>
      <c r="R71" s="478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475" t="s">
        <v>164</v>
      </c>
      <c r="H73" s="483">
        <f t="shared" ref="H73:R73" si="17">H57</f>
        <v>2011</v>
      </c>
      <c r="I73" s="483">
        <f t="shared" si="17"/>
        <v>2012</v>
      </c>
      <c r="J73" s="483">
        <f t="shared" si="17"/>
        <v>2013</v>
      </c>
      <c r="K73" s="483">
        <f t="shared" si="17"/>
        <v>2014</v>
      </c>
      <c r="L73" s="483">
        <f t="shared" si="17"/>
        <v>2015</v>
      </c>
      <c r="M73" s="483">
        <f t="shared" si="17"/>
        <v>2016</v>
      </c>
      <c r="N73" s="483">
        <f t="shared" si="17"/>
        <v>2017</v>
      </c>
      <c r="O73" s="483">
        <f t="shared" si="17"/>
        <v>2018</v>
      </c>
      <c r="P73" s="483">
        <f t="shared" si="17"/>
        <v>2019</v>
      </c>
      <c r="Q73" s="483">
        <f t="shared" si="17"/>
        <v>2020</v>
      </c>
      <c r="R73" s="483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477" t="s">
        <v>167</v>
      </c>
      <c r="H74" s="479">
        <v>0</v>
      </c>
      <c r="I74" s="479">
        <v>0</v>
      </c>
      <c r="J74" s="479">
        <v>0</v>
      </c>
      <c r="K74" s="479">
        <v>0</v>
      </c>
      <c r="L74" s="479">
        <v>0</v>
      </c>
      <c r="M74" s="479">
        <v>0</v>
      </c>
      <c r="N74" s="479">
        <v>0</v>
      </c>
      <c r="O74" s="479">
        <v>0</v>
      </c>
      <c r="P74" s="479">
        <v>0</v>
      </c>
      <c r="Q74" s="479">
        <v>0</v>
      </c>
      <c r="R74" s="479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479">
        <v>0</v>
      </c>
      <c r="I75" s="479">
        <v>0</v>
      </c>
      <c r="J75" s="479">
        <v>0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79">
        <v>0</v>
      </c>
      <c r="Q75" s="479">
        <v>0</v>
      </c>
      <c r="R75" s="479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479">
        <v>0</v>
      </c>
      <c r="I76" s="479">
        <v>0</v>
      </c>
      <c r="J76" s="479">
        <v>0</v>
      </c>
      <c r="K76" s="479">
        <v>0</v>
      </c>
      <c r="L76" s="479">
        <v>0</v>
      </c>
      <c r="M76" s="479">
        <v>0</v>
      </c>
      <c r="N76" s="479">
        <v>0</v>
      </c>
      <c r="O76" s="479">
        <v>0</v>
      </c>
      <c r="P76" s="479">
        <v>0</v>
      </c>
      <c r="Q76" s="479">
        <v>0</v>
      </c>
      <c r="R76" s="479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479">
        <v>0</v>
      </c>
      <c r="I77" s="479">
        <v>0</v>
      </c>
      <c r="J77" s="479">
        <v>0</v>
      </c>
      <c r="K77" s="479">
        <v>0</v>
      </c>
      <c r="L77" s="479">
        <v>0</v>
      </c>
      <c r="M77" s="479">
        <v>0</v>
      </c>
      <c r="N77" s="479">
        <v>0</v>
      </c>
      <c r="O77" s="479">
        <v>0</v>
      </c>
      <c r="P77" s="479">
        <v>0</v>
      </c>
      <c r="Q77" s="479">
        <v>0</v>
      </c>
      <c r="R77" s="479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479">
        <v>0</v>
      </c>
      <c r="I78" s="479">
        <v>0</v>
      </c>
      <c r="J78" s="479">
        <v>0</v>
      </c>
      <c r="K78" s="479">
        <v>0</v>
      </c>
      <c r="L78" s="479">
        <v>0</v>
      </c>
      <c r="M78" s="479">
        <v>0</v>
      </c>
      <c r="N78" s="479">
        <v>0</v>
      </c>
      <c r="O78" s="479">
        <v>0</v>
      </c>
      <c r="P78" s="479">
        <v>0</v>
      </c>
      <c r="Q78" s="479">
        <v>0</v>
      </c>
      <c r="R78" s="479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479">
        <v>0</v>
      </c>
      <c r="I79" s="479">
        <v>0</v>
      </c>
      <c r="J79" s="479">
        <v>0</v>
      </c>
      <c r="K79" s="479">
        <v>0</v>
      </c>
      <c r="L79" s="479">
        <v>0</v>
      </c>
      <c r="M79" s="479">
        <v>0</v>
      </c>
      <c r="N79" s="479">
        <v>0</v>
      </c>
      <c r="O79" s="479">
        <v>0</v>
      </c>
      <c r="P79" s="479">
        <v>0</v>
      </c>
      <c r="Q79" s="479">
        <v>0</v>
      </c>
      <c r="R79" s="479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479">
        <v>0</v>
      </c>
      <c r="I80" s="479">
        <v>0</v>
      </c>
      <c r="J80" s="479">
        <v>0</v>
      </c>
      <c r="K80" s="479">
        <v>0</v>
      </c>
      <c r="L80" s="479">
        <v>0</v>
      </c>
      <c r="M80" s="479">
        <v>0</v>
      </c>
      <c r="N80" s="479">
        <v>0</v>
      </c>
      <c r="O80" s="479">
        <v>0</v>
      </c>
      <c r="P80" s="479">
        <v>0</v>
      </c>
      <c r="Q80" s="479">
        <v>0</v>
      </c>
      <c r="R80" s="479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479">
        <v>0</v>
      </c>
      <c r="I81" s="479">
        <v>0</v>
      </c>
      <c r="J81" s="479">
        <v>0</v>
      </c>
      <c r="K81" s="479">
        <v>0</v>
      </c>
      <c r="L81" s="479">
        <v>0</v>
      </c>
      <c r="M81" s="479">
        <v>0</v>
      </c>
      <c r="N81" s="479">
        <v>0</v>
      </c>
      <c r="O81" s="479">
        <v>0</v>
      </c>
      <c r="P81" s="479">
        <v>0</v>
      </c>
      <c r="Q81" s="479">
        <v>0</v>
      </c>
      <c r="R81" s="479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479">
        <v>0</v>
      </c>
      <c r="I82" s="479">
        <v>0</v>
      </c>
      <c r="J82" s="479">
        <v>0</v>
      </c>
      <c r="K82" s="479">
        <v>0</v>
      </c>
      <c r="L82" s="479">
        <v>0</v>
      </c>
      <c r="M82" s="479">
        <v>0</v>
      </c>
      <c r="N82" s="479"/>
      <c r="O82" s="479">
        <v>0</v>
      </c>
      <c r="P82" s="479">
        <v>0</v>
      </c>
      <c r="Q82" s="479">
        <v>0</v>
      </c>
      <c r="R82" s="479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479">
        <v>0</v>
      </c>
      <c r="I83" s="479">
        <v>0</v>
      </c>
      <c r="J83" s="479">
        <v>0</v>
      </c>
      <c r="K83" s="479">
        <v>0</v>
      </c>
      <c r="L83" s="479">
        <v>0</v>
      </c>
      <c r="M83" s="479">
        <v>0</v>
      </c>
      <c r="N83" s="479">
        <v>0</v>
      </c>
      <c r="O83" s="479">
        <v>0</v>
      </c>
      <c r="P83" s="479">
        <v>0</v>
      </c>
      <c r="Q83" s="479">
        <v>0</v>
      </c>
      <c r="R83" s="479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479">
        <v>0</v>
      </c>
      <c r="I84" s="479">
        <v>0</v>
      </c>
      <c r="J84" s="479">
        <v>0</v>
      </c>
      <c r="K84" s="479">
        <v>0</v>
      </c>
      <c r="L84" s="479">
        <v>0</v>
      </c>
      <c r="M84" s="479">
        <v>0</v>
      </c>
      <c r="N84" s="479">
        <v>0</v>
      </c>
      <c r="O84" s="479">
        <v>0</v>
      </c>
      <c r="P84" s="479">
        <v>0</v>
      </c>
      <c r="Q84" s="479">
        <v>0</v>
      </c>
      <c r="R84" s="479">
        <v>0</v>
      </c>
    </row>
    <row r="85" spans="1:18" x14ac:dyDescent="0.2">
      <c r="B85" s="2" t="s">
        <v>192</v>
      </c>
      <c r="G85" s="186" t="s">
        <v>163</v>
      </c>
      <c r="H85" s="478">
        <f t="shared" ref="H85:R85" si="18">SUM(H74:H84)</f>
        <v>0</v>
      </c>
      <c r="I85" s="478">
        <f t="shared" si="18"/>
        <v>0</v>
      </c>
      <c r="J85" s="478">
        <f t="shared" si="18"/>
        <v>0</v>
      </c>
      <c r="K85" s="478">
        <f t="shared" si="18"/>
        <v>0</v>
      </c>
      <c r="L85" s="478">
        <f t="shared" si="18"/>
        <v>0</v>
      </c>
      <c r="M85" s="478">
        <f t="shared" si="18"/>
        <v>0</v>
      </c>
      <c r="N85" s="478">
        <f t="shared" si="18"/>
        <v>0</v>
      </c>
      <c r="O85" s="478">
        <f t="shared" si="18"/>
        <v>0</v>
      </c>
      <c r="P85" s="478">
        <f t="shared" si="18"/>
        <v>0</v>
      </c>
      <c r="Q85" s="478">
        <f t="shared" si="18"/>
        <v>0</v>
      </c>
      <c r="R85" s="478">
        <f t="shared" si="18"/>
        <v>0</v>
      </c>
    </row>
    <row r="87" spans="1:18" x14ac:dyDescent="0.2">
      <c r="A87" s="23" t="s">
        <v>0</v>
      </c>
      <c r="D87" s="1230" t="s">
        <v>193</v>
      </c>
      <c r="E87" s="1231"/>
      <c r="G87" s="475" t="s">
        <v>194</v>
      </c>
      <c r="H87" s="483">
        <f t="shared" ref="H87:R87" si="19">H32</f>
        <v>2011</v>
      </c>
      <c r="I87" s="483">
        <f t="shared" si="19"/>
        <v>2012</v>
      </c>
      <c r="J87" s="483">
        <f t="shared" si="19"/>
        <v>2013</v>
      </c>
      <c r="K87" s="483">
        <f t="shared" si="19"/>
        <v>2014</v>
      </c>
      <c r="L87" s="483">
        <f t="shared" si="19"/>
        <v>2015</v>
      </c>
      <c r="M87" s="483">
        <f t="shared" si="19"/>
        <v>2016</v>
      </c>
      <c r="N87" s="483">
        <f t="shared" si="19"/>
        <v>2017</v>
      </c>
      <c r="O87" s="483">
        <f t="shared" si="19"/>
        <v>2018</v>
      </c>
      <c r="P87" s="483">
        <f t="shared" si="19"/>
        <v>2019</v>
      </c>
      <c r="Q87" s="483">
        <f t="shared" si="19"/>
        <v>2020</v>
      </c>
      <c r="R87" s="483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486"/>
      <c r="G88" s="477" t="s">
        <v>198</v>
      </c>
      <c r="H88" s="478">
        <f>H46+H71</f>
        <v>0</v>
      </c>
      <c r="I88" s="478">
        <f t="shared" ref="I88:R88" si="20">I46+I71</f>
        <v>0</v>
      </c>
      <c r="J88" s="478">
        <f t="shared" si="20"/>
        <v>0</v>
      </c>
      <c r="K88" s="478">
        <f t="shared" si="20"/>
        <v>0</v>
      </c>
      <c r="L88" s="478">
        <f t="shared" si="20"/>
        <v>0</v>
      </c>
      <c r="M88" s="478">
        <f t="shared" si="20"/>
        <v>41.938000000000024</v>
      </c>
      <c r="N88" s="478">
        <f t="shared" si="20"/>
        <v>-39.514999999999986</v>
      </c>
      <c r="O88" s="478">
        <f t="shared" si="20"/>
        <v>-8.500000000003638E-2</v>
      </c>
      <c r="P88" s="478">
        <f t="shared" si="20"/>
        <v>0.2319999999999709</v>
      </c>
      <c r="Q88" s="478">
        <f t="shared" si="20"/>
        <v>-9.7680000000000291</v>
      </c>
      <c r="R88" s="478">
        <f t="shared" si="20"/>
        <v>0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486"/>
      <c r="G89" s="477" t="s">
        <v>202</v>
      </c>
      <c r="H89" s="487">
        <f t="shared" ref="H89:R89" si="21">H33+H38+H41-H45</f>
        <v>0</v>
      </c>
      <c r="I89" s="478">
        <f t="shared" si="21"/>
        <v>0</v>
      </c>
      <c r="J89" s="478">
        <f t="shared" si="21"/>
        <v>0</v>
      </c>
      <c r="K89" s="478">
        <f t="shared" si="21"/>
        <v>0</v>
      </c>
      <c r="L89" s="478">
        <f t="shared" si="21"/>
        <v>0</v>
      </c>
      <c r="M89" s="478">
        <f t="shared" si="21"/>
        <v>51.981000000000023</v>
      </c>
      <c r="N89" s="478">
        <f t="shared" si="21"/>
        <v>17.253000000000014</v>
      </c>
      <c r="O89" s="478">
        <f t="shared" si="21"/>
        <v>16.682999999999964</v>
      </c>
      <c r="P89" s="478">
        <f t="shared" si="21"/>
        <v>16.999999999999972</v>
      </c>
      <c r="Q89" s="478">
        <f t="shared" si="21"/>
        <v>16.999999999999972</v>
      </c>
      <c r="R89" s="478">
        <f t="shared" si="21"/>
        <v>16.999999999999982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488">
        <v>0</v>
      </c>
      <c r="G90" s="186" t="s">
        <v>206</v>
      </c>
      <c r="H90" s="489" t="e">
        <f t="shared" ref="H90:R90" si="22">H89/H33</f>
        <v>#DIV/0!</v>
      </c>
      <c r="I90" s="490" t="e">
        <f t="shared" si="22"/>
        <v>#DIV/0!</v>
      </c>
      <c r="J90" s="490" t="e">
        <f t="shared" si="22"/>
        <v>#DIV/0!</v>
      </c>
      <c r="K90" s="490" t="e">
        <f t="shared" si="22"/>
        <v>#DIV/0!</v>
      </c>
      <c r="L90" s="490" t="e">
        <f t="shared" si="22"/>
        <v>#DIV/0!</v>
      </c>
      <c r="M90" s="490">
        <f t="shared" si="22"/>
        <v>0.13943476091609941</v>
      </c>
      <c r="N90" s="490">
        <f t="shared" si="22"/>
        <v>2.1041629570727846E-2</v>
      </c>
      <c r="O90" s="490">
        <f t="shared" si="22"/>
        <v>2.2342814822354284E-2</v>
      </c>
      <c r="P90" s="490">
        <f t="shared" si="22"/>
        <v>2.2516556291390689E-2</v>
      </c>
      <c r="Q90" s="490">
        <f t="shared" si="22"/>
        <v>2.2516556291390689E-2</v>
      </c>
      <c r="R90" s="490">
        <f t="shared" si="22"/>
        <v>2.2368421052631555E-2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486"/>
      <c r="G91" s="18" t="s">
        <v>210</v>
      </c>
      <c r="H91" s="491" t="e">
        <f t="shared" ref="H91:R91" si="23">-H33/(H38+H41)</f>
        <v>#DIV/0!</v>
      </c>
      <c r="I91" s="491" t="e">
        <f t="shared" si="23"/>
        <v>#DIV/0!</v>
      </c>
      <c r="J91" s="491" t="e">
        <f t="shared" si="23"/>
        <v>#DIV/0!</v>
      </c>
      <c r="K91" s="491" t="e">
        <f t="shared" si="23"/>
        <v>#DIV/0!</v>
      </c>
      <c r="L91" s="491" t="e">
        <f t="shared" si="23"/>
        <v>#DIV/0!</v>
      </c>
      <c r="M91" s="491">
        <f t="shared" si="23"/>
        <v>1.1484524458656415</v>
      </c>
      <c r="N91" s="491">
        <f t="shared" si="23"/>
        <v>1.000591852449354</v>
      </c>
      <c r="O91" s="491">
        <f t="shared" si="23"/>
        <v>0.99988617616180653</v>
      </c>
      <c r="P91" s="491">
        <f t="shared" si="23"/>
        <v>1.0003073792211645</v>
      </c>
      <c r="Q91" s="491">
        <f t="shared" si="23"/>
        <v>1.0003073792211645</v>
      </c>
      <c r="R91" s="491">
        <f t="shared" si="23"/>
        <v>1.0058165311240661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486"/>
      <c r="G92" s="477" t="s">
        <v>214</v>
      </c>
      <c r="H92" s="487">
        <f>H46</f>
        <v>0</v>
      </c>
      <c r="I92" s="487">
        <f t="shared" ref="I92:R92" si="24">I46</f>
        <v>0</v>
      </c>
      <c r="J92" s="487">
        <f t="shared" si="24"/>
        <v>0</v>
      </c>
      <c r="K92" s="487">
        <f t="shared" si="24"/>
        <v>0</v>
      </c>
      <c r="L92" s="487">
        <f t="shared" si="24"/>
        <v>0</v>
      </c>
      <c r="M92" s="487">
        <f t="shared" si="24"/>
        <v>48.189000000000021</v>
      </c>
      <c r="N92" s="487">
        <f t="shared" si="24"/>
        <v>0.48500000000001364</v>
      </c>
      <c r="O92" s="487">
        <f t="shared" si="24"/>
        <v>-8.500000000003638E-2</v>
      </c>
      <c r="P92" s="487">
        <f t="shared" si="24"/>
        <v>0.2319999999999709</v>
      </c>
      <c r="Q92" s="487">
        <f t="shared" si="24"/>
        <v>0.2319999999999709</v>
      </c>
      <c r="R92" s="487">
        <f t="shared" si="24"/>
        <v>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488">
        <v>-0.3</v>
      </c>
      <c r="E93" s="488">
        <v>0</v>
      </c>
      <c r="G93" s="18" t="s">
        <v>218</v>
      </c>
      <c r="H93" s="492" t="e">
        <f>H46/H33</f>
        <v>#DIV/0!</v>
      </c>
      <c r="I93" s="493" t="e">
        <f t="shared" ref="I93:R93" si="25">I46/I33</f>
        <v>#DIV/0!</v>
      </c>
      <c r="J93" s="493" t="e">
        <f t="shared" si="25"/>
        <v>#DIV/0!</v>
      </c>
      <c r="K93" s="493" t="e">
        <f t="shared" si="25"/>
        <v>#DIV/0!</v>
      </c>
      <c r="L93" s="493" t="e">
        <f t="shared" si="25"/>
        <v>#DIV/0!</v>
      </c>
      <c r="M93" s="493">
        <f t="shared" si="25"/>
        <v>0.12926303252699858</v>
      </c>
      <c r="N93" s="493">
        <f t="shared" si="25"/>
        <v>5.9150236722907803E-4</v>
      </c>
      <c r="O93" s="493">
        <f t="shared" si="25"/>
        <v>-1.1383679553443212E-4</v>
      </c>
      <c r="P93" s="493">
        <f t="shared" si="25"/>
        <v>3.0728476821188197E-4</v>
      </c>
      <c r="Q93" s="493">
        <f t="shared" si="25"/>
        <v>3.0728476821188197E-4</v>
      </c>
      <c r="R93" s="493">
        <f t="shared" si="25"/>
        <v>0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486"/>
      <c r="G94" s="186" t="s">
        <v>222</v>
      </c>
      <c r="H94" s="487">
        <f>H29+H30</f>
        <v>0</v>
      </c>
      <c r="I94" s="487">
        <f t="shared" ref="I94:R94" si="26">I29+I30</f>
        <v>0</v>
      </c>
      <c r="J94" s="487">
        <f t="shared" si="26"/>
        <v>0</v>
      </c>
      <c r="K94" s="487">
        <f t="shared" si="26"/>
        <v>0</v>
      </c>
      <c r="L94" s="487">
        <f t="shared" si="26"/>
        <v>0</v>
      </c>
      <c r="M94" s="487">
        <f t="shared" si="26"/>
        <v>48</v>
      </c>
      <c r="N94" s="487">
        <f t="shared" si="26"/>
        <v>48</v>
      </c>
      <c r="O94" s="487">
        <f t="shared" si="26"/>
        <v>48</v>
      </c>
      <c r="P94" s="487">
        <f t="shared" si="26"/>
        <v>48</v>
      </c>
      <c r="Q94" s="487">
        <f t="shared" si="26"/>
        <v>48</v>
      </c>
      <c r="R94" s="487">
        <f t="shared" si="26"/>
        <v>48</v>
      </c>
    </row>
    <row r="95" spans="1:18" x14ac:dyDescent="0.2">
      <c r="G95" s="68" t="s">
        <v>223</v>
      </c>
      <c r="H95" s="483">
        <f t="shared" ref="H95:R95" si="27">H87</f>
        <v>2011</v>
      </c>
      <c r="I95" s="483">
        <f t="shared" si="27"/>
        <v>2012</v>
      </c>
      <c r="J95" s="483">
        <f t="shared" si="27"/>
        <v>2013</v>
      </c>
      <c r="K95" s="483">
        <f t="shared" si="27"/>
        <v>2014</v>
      </c>
      <c r="L95" s="483">
        <f t="shared" si="27"/>
        <v>2015</v>
      </c>
      <c r="M95" s="483">
        <f t="shared" si="27"/>
        <v>2016</v>
      </c>
      <c r="N95" s="483">
        <f t="shared" si="27"/>
        <v>2017</v>
      </c>
      <c r="O95" s="483">
        <f t="shared" si="27"/>
        <v>2018</v>
      </c>
      <c r="P95" s="483">
        <f t="shared" si="27"/>
        <v>2019</v>
      </c>
      <c r="Q95" s="483">
        <f t="shared" si="27"/>
        <v>2020</v>
      </c>
      <c r="R95" s="483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486"/>
      <c r="F96" s="69"/>
      <c r="G96" s="477" t="s">
        <v>227</v>
      </c>
      <c r="H96" s="487">
        <f t="shared" ref="H96:R96" si="28">H6+H12</f>
        <v>0</v>
      </c>
      <c r="I96" s="478">
        <f t="shared" si="28"/>
        <v>0</v>
      </c>
      <c r="J96" s="478">
        <f t="shared" si="28"/>
        <v>0</v>
      </c>
      <c r="K96" s="478">
        <f t="shared" si="28"/>
        <v>0</v>
      </c>
      <c r="L96" s="478">
        <f t="shared" si="28"/>
        <v>0</v>
      </c>
      <c r="M96" s="478">
        <f t="shared" si="28"/>
        <v>34.146999999999998</v>
      </c>
      <c r="N96" s="478">
        <f t="shared" si="28"/>
        <v>16</v>
      </c>
      <c r="O96" s="478">
        <f t="shared" si="28"/>
        <v>23</v>
      </c>
      <c r="P96" s="478">
        <f t="shared" si="28"/>
        <v>35</v>
      </c>
      <c r="Q96" s="478">
        <f t="shared" si="28"/>
        <v>37</v>
      </c>
      <c r="R96" s="478">
        <f t="shared" si="28"/>
        <v>35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486"/>
      <c r="F97" s="69"/>
      <c r="G97" s="18" t="s">
        <v>230</v>
      </c>
      <c r="H97" s="487">
        <f>H19</f>
        <v>0</v>
      </c>
      <c r="I97" s="487">
        <f t="shared" ref="I97:R97" si="29">I19</f>
        <v>0</v>
      </c>
      <c r="J97" s="487">
        <f t="shared" si="29"/>
        <v>0</v>
      </c>
      <c r="K97" s="487">
        <f t="shared" si="29"/>
        <v>0</v>
      </c>
      <c r="L97" s="487">
        <f t="shared" si="29"/>
        <v>0</v>
      </c>
      <c r="M97" s="487">
        <f t="shared" si="29"/>
        <v>17</v>
      </c>
      <c r="N97" s="487">
        <f t="shared" si="29"/>
        <v>13</v>
      </c>
      <c r="O97" s="487">
        <f t="shared" si="29"/>
        <v>11</v>
      </c>
      <c r="P97" s="487">
        <f t="shared" si="29"/>
        <v>7</v>
      </c>
      <c r="Q97" s="487">
        <f t="shared" si="29"/>
        <v>8</v>
      </c>
      <c r="R97" s="487">
        <f t="shared" si="29"/>
        <v>4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486"/>
      <c r="F98" s="69"/>
      <c r="G98" s="18" t="s">
        <v>234</v>
      </c>
      <c r="H98" s="487">
        <f t="shared" ref="H98:R98" si="30">H97-H96</f>
        <v>0</v>
      </c>
      <c r="I98" s="478">
        <f t="shared" si="30"/>
        <v>0</v>
      </c>
      <c r="J98" s="478">
        <f t="shared" si="30"/>
        <v>0</v>
      </c>
      <c r="K98" s="478">
        <f t="shared" si="30"/>
        <v>0</v>
      </c>
      <c r="L98" s="478">
        <f t="shared" si="30"/>
        <v>0</v>
      </c>
      <c r="M98" s="478">
        <f t="shared" si="30"/>
        <v>-17.146999999999998</v>
      </c>
      <c r="N98" s="478">
        <f t="shared" si="30"/>
        <v>-3</v>
      </c>
      <c r="O98" s="478">
        <f t="shared" si="30"/>
        <v>-12</v>
      </c>
      <c r="P98" s="478">
        <f t="shared" si="30"/>
        <v>-28</v>
      </c>
      <c r="Q98" s="478">
        <f t="shared" si="30"/>
        <v>-29</v>
      </c>
      <c r="R98" s="478">
        <f t="shared" si="30"/>
        <v>-31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488">
        <v>0.4</v>
      </c>
      <c r="F99" s="69"/>
      <c r="G99" s="18" t="s">
        <v>238</v>
      </c>
      <c r="H99" s="494" t="e">
        <f t="shared" ref="H99:R99" si="31">H98/H33</f>
        <v>#DIV/0!</v>
      </c>
      <c r="I99" s="490" t="e">
        <f t="shared" si="31"/>
        <v>#DIV/0!</v>
      </c>
      <c r="J99" s="490" t="e">
        <f t="shared" si="31"/>
        <v>#DIV/0!</v>
      </c>
      <c r="K99" s="490" t="e">
        <f t="shared" si="31"/>
        <v>#DIV/0!</v>
      </c>
      <c r="L99" s="490" t="e">
        <f t="shared" si="31"/>
        <v>#DIV/0!</v>
      </c>
      <c r="M99" s="490">
        <f t="shared" si="31"/>
        <v>-4.5995418430356379E-2</v>
      </c>
      <c r="N99" s="490">
        <f t="shared" si="31"/>
        <v>-3.6587775292519263E-3</v>
      </c>
      <c r="O99" s="490">
        <f t="shared" si="31"/>
        <v>-1.6071077016618834E-2</v>
      </c>
      <c r="P99" s="490">
        <f t="shared" si="31"/>
        <v>-3.7086092715231792E-2</v>
      </c>
      <c r="Q99" s="490">
        <f t="shared" si="31"/>
        <v>-3.8410596026490065E-2</v>
      </c>
      <c r="R99" s="490">
        <f t="shared" si="31"/>
        <v>-4.0789473684210528E-2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495">
        <v>0</v>
      </c>
      <c r="E100" s="495">
        <v>5</v>
      </c>
      <c r="F100" s="69"/>
      <c r="G100" s="18" t="s">
        <v>242</v>
      </c>
      <c r="H100" s="491" t="e">
        <f t="shared" ref="H100:R100" si="32">H98/H89</f>
        <v>#DIV/0!</v>
      </c>
      <c r="I100" s="491" t="e">
        <f t="shared" si="32"/>
        <v>#DIV/0!</v>
      </c>
      <c r="J100" s="491" t="e">
        <f t="shared" si="32"/>
        <v>#DIV/0!</v>
      </c>
      <c r="K100" s="491" t="e">
        <f t="shared" si="32"/>
        <v>#DIV/0!</v>
      </c>
      <c r="L100" s="491" t="e">
        <f t="shared" si="32"/>
        <v>#DIV/0!</v>
      </c>
      <c r="M100" s="491">
        <f t="shared" si="32"/>
        <v>-0.32987052961659052</v>
      </c>
      <c r="N100" s="491">
        <f t="shared" si="32"/>
        <v>-0.17388280299078407</v>
      </c>
      <c r="O100" s="491">
        <f t="shared" si="32"/>
        <v>-0.71929509081100673</v>
      </c>
      <c r="P100" s="491">
        <f t="shared" si="32"/>
        <v>-1.6470588235294146</v>
      </c>
      <c r="Q100" s="491">
        <f t="shared" si="32"/>
        <v>-1.7058823529411793</v>
      </c>
      <c r="R100" s="491">
        <f t="shared" si="32"/>
        <v>-1.8235294117647078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486"/>
      <c r="F101" s="69"/>
      <c r="G101" s="18" t="s">
        <v>246</v>
      </c>
      <c r="H101" s="487">
        <f t="shared" ref="H101:R101" si="33">-(H75+H77+H78+H79+H80+H81)</f>
        <v>0</v>
      </c>
      <c r="I101" s="487">
        <f t="shared" si="33"/>
        <v>0</v>
      </c>
      <c r="J101" s="487">
        <f t="shared" si="33"/>
        <v>0</v>
      </c>
      <c r="K101" s="487">
        <f t="shared" si="33"/>
        <v>0</v>
      </c>
      <c r="L101" s="487">
        <f t="shared" si="33"/>
        <v>0</v>
      </c>
      <c r="M101" s="487">
        <f t="shared" si="33"/>
        <v>0</v>
      </c>
      <c r="N101" s="487">
        <f t="shared" si="33"/>
        <v>0</v>
      </c>
      <c r="O101" s="487">
        <f t="shared" si="33"/>
        <v>0</v>
      </c>
      <c r="P101" s="487">
        <f t="shared" si="33"/>
        <v>0</v>
      </c>
      <c r="Q101" s="487">
        <f t="shared" si="33"/>
        <v>0</v>
      </c>
      <c r="R101" s="487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495">
        <v>1.2</v>
      </c>
      <c r="F102" s="69"/>
      <c r="G102" s="18" t="s">
        <v>250</v>
      </c>
      <c r="H102" s="496" t="e">
        <f t="shared" ref="H102:R102" si="34">H89/H101</f>
        <v>#DIV/0!</v>
      </c>
      <c r="I102" s="491" t="e">
        <f t="shared" si="34"/>
        <v>#DIV/0!</v>
      </c>
      <c r="J102" s="491" t="e">
        <f t="shared" si="34"/>
        <v>#DIV/0!</v>
      </c>
      <c r="K102" s="491" t="e">
        <f t="shared" si="34"/>
        <v>#DIV/0!</v>
      </c>
      <c r="L102" s="491" t="e">
        <f t="shared" si="34"/>
        <v>#DIV/0!</v>
      </c>
      <c r="M102" s="491" t="e">
        <f t="shared" si="34"/>
        <v>#DIV/0!</v>
      </c>
      <c r="N102" s="491" t="e">
        <f t="shared" si="34"/>
        <v>#DIV/0!</v>
      </c>
      <c r="O102" s="491" t="e">
        <f t="shared" si="34"/>
        <v>#DIV/0!</v>
      </c>
      <c r="P102" s="491" t="e">
        <f t="shared" si="34"/>
        <v>#DIV/0!</v>
      </c>
      <c r="Q102" s="491" t="e">
        <f t="shared" si="34"/>
        <v>#DIV/0!</v>
      </c>
      <c r="R102" s="491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495">
        <v>0</v>
      </c>
      <c r="F103" s="69"/>
      <c r="G103" s="477" t="s">
        <v>254</v>
      </c>
      <c r="H103" s="487">
        <f t="shared" ref="H103:R103" si="35">H5-H20</f>
        <v>0</v>
      </c>
      <c r="I103" s="487">
        <f t="shared" si="35"/>
        <v>0</v>
      </c>
      <c r="J103" s="487">
        <f t="shared" si="35"/>
        <v>0</v>
      </c>
      <c r="K103" s="487">
        <f t="shared" si="35"/>
        <v>0</v>
      </c>
      <c r="L103" s="487">
        <f t="shared" si="35"/>
        <v>0</v>
      </c>
      <c r="M103" s="487">
        <f t="shared" si="35"/>
        <v>50.146999999999998</v>
      </c>
      <c r="N103" s="487">
        <f t="shared" si="35"/>
        <v>23</v>
      </c>
      <c r="O103" s="487">
        <f t="shared" si="35"/>
        <v>37</v>
      </c>
      <c r="P103" s="487">
        <f t="shared" si="35"/>
        <v>50</v>
      </c>
      <c r="Q103" s="487">
        <f t="shared" si="35"/>
        <v>51</v>
      </c>
      <c r="R103" s="487">
        <f t="shared" si="35"/>
        <v>48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495">
        <v>1</v>
      </c>
      <c r="F104" s="69"/>
      <c r="G104" s="18" t="s">
        <v>258</v>
      </c>
      <c r="H104" s="496" t="e">
        <f t="shared" ref="H104:R104" si="36">H5/H20</f>
        <v>#DIV/0!</v>
      </c>
      <c r="I104" s="496" t="e">
        <f t="shared" si="36"/>
        <v>#DIV/0!</v>
      </c>
      <c r="J104" s="496" t="e">
        <f t="shared" si="36"/>
        <v>#DIV/0!</v>
      </c>
      <c r="K104" s="496" t="e">
        <f t="shared" si="36"/>
        <v>#DIV/0!</v>
      </c>
      <c r="L104" s="496" t="e">
        <f t="shared" si="36"/>
        <v>#DIV/0!</v>
      </c>
      <c r="M104" s="496" t="e">
        <f t="shared" si="36"/>
        <v>#DIV/0!</v>
      </c>
      <c r="N104" s="496" t="e">
        <f t="shared" si="36"/>
        <v>#DIV/0!</v>
      </c>
      <c r="O104" s="496" t="e">
        <f t="shared" si="36"/>
        <v>#DIV/0!</v>
      </c>
      <c r="P104" s="496" t="e">
        <f t="shared" si="36"/>
        <v>#DIV/0!</v>
      </c>
      <c r="Q104" s="496" t="e">
        <f t="shared" si="36"/>
        <v>#DIV/0!</v>
      </c>
      <c r="R104" s="496" t="e">
        <f t="shared" si="36"/>
        <v>#DIV/0!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495">
        <v>1</v>
      </c>
      <c r="F105" s="69"/>
      <c r="G105" s="186" t="s">
        <v>262</v>
      </c>
      <c r="H105" s="496" t="e">
        <f t="shared" ref="H105:R105" si="37">-H6/((H38+H41-H45+H47)/12)</f>
        <v>#DIV/0!</v>
      </c>
      <c r="I105" s="496" t="e">
        <f t="shared" si="37"/>
        <v>#DIV/0!</v>
      </c>
      <c r="J105" s="496" t="e">
        <f t="shared" si="37"/>
        <v>#DIV/0!</v>
      </c>
      <c r="K105" s="496" t="e">
        <f t="shared" si="37"/>
        <v>#DIV/0!</v>
      </c>
      <c r="L105" s="496" t="e">
        <f t="shared" si="37"/>
        <v>#DIV/0!</v>
      </c>
      <c r="M105" s="496">
        <f t="shared" si="37"/>
        <v>1.2772515172200973</v>
      </c>
      <c r="N105" s="496">
        <f t="shared" si="37"/>
        <v>0.23919481046925789</v>
      </c>
      <c r="O105" s="496">
        <f t="shared" si="37"/>
        <v>0.37808219178082192</v>
      </c>
      <c r="P105" s="496">
        <f t="shared" si="37"/>
        <v>0.56910569105691056</v>
      </c>
      <c r="Q105" s="496">
        <f t="shared" si="37"/>
        <v>0.60162601626016265</v>
      </c>
      <c r="R105" s="496">
        <f t="shared" si="37"/>
        <v>0.56527590847913867</v>
      </c>
    </row>
    <row r="106" spans="1:18" x14ac:dyDescent="0.2">
      <c r="C106" s="16"/>
      <c r="F106" s="69"/>
      <c r="G106" s="68" t="s">
        <v>263</v>
      </c>
      <c r="H106" s="483">
        <f t="shared" ref="H106:R106" si="38">H95</f>
        <v>2011</v>
      </c>
      <c r="I106" s="483">
        <f t="shared" si="38"/>
        <v>2012</v>
      </c>
      <c r="J106" s="483">
        <f t="shared" si="38"/>
        <v>2013</v>
      </c>
      <c r="K106" s="483">
        <f t="shared" si="38"/>
        <v>2014</v>
      </c>
      <c r="L106" s="483">
        <f t="shared" si="38"/>
        <v>2015</v>
      </c>
      <c r="M106" s="483">
        <f t="shared" si="38"/>
        <v>2016</v>
      </c>
      <c r="N106" s="483">
        <f t="shared" si="38"/>
        <v>2017</v>
      </c>
      <c r="O106" s="483">
        <f t="shared" si="38"/>
        <v>2018</v>
      </c>
      <c r="P106" s="483">
        <f t="shared" si="38"/>
        <v>2019</v>
      </c>
      <c r="Q106" s="483">
        <f t="shared" si="38"/>
        <v>2020</v>
      </c>
      <c r="R106" s="483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488">
        <v>0.6</v>
      </c>
      <c r="F107" s="69"/>
      <c r="G107" s="477" t="s">
        <v>267</v>
      </c>
      <c r="H107" s="494" t="e">
        <f t="shared" ref="H107:R107" si="39">H17/H4</f>
        <v>#DIV/0!</v>
      </c>
      <c r="I107" s="494" t="e">
        <f t="shared" si="39"/>
        <v>#DIV/0!</v>
      </c>
      <c r="J107" s="494" t="e">
        <f t="shared" si="39"/>
        <v>#DIV/0!</v>
      </c>
      <c r="K107" s="494" t="e">
        <f t="shared" si="39"/>
        <v>#DIV/0!</v>
      </c>
      <c r="L107" s="494" t="e">
        <f t="shared" si="39"/>
        <v>#DIV/0!</v>
      </c>
      <c r="M107" s="494">
        <f t="shared" si="39"/>
        <v>0</v>
      </c>
      <c r="N107" s="494">
        <f t="shared" si="39"/>
        <v>0</v>
      </c>
      <c r="O107" s="494">
        <f t="shared" si="39"/>
        <v>0</v>
      </c>
      <c r="P107" s="494">
        <f t="shared" si="39"/>
        <v>0</v>
      </c>
      <c r="Q107" s="494">
        <f t="shared" si="39"/>
        <v>0</v>
      </c>
      <c r="R107" s="494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488">
        <v>0.4</v>
      </c>
      <c r="F108" s="69"/>
      <c r="G108" s="186" t="s">
        <v>271</v>
      </c>
      <c r="H108" s="494" t="e">
        <f t="shared" ref="H108:R108" si="40">H27/H17</f>
        <v>#DIV/0!</v>
      </c>
      <c r="I108" s="494" t="e">
        <f t="shared" si="40"/>
        <v>#DIV/0!</v>
      </c>
      <c r="J108" s="494" t="e">
        <f t="shared" si="40"/>
        <v>#DIV/0!</v>
      </c>
      <c r="K108" s="494" t="e">
        <f t="shared" si="40"/>
        <v>#DIV/0!</v>
      </c>
      <c r="L108" s="494" t="e">
        <f t="shared" si="40"/>
        <v>#DIV/0!</v>
      </c>
      <c r="M108" s="494" t="e">
        <f t="shared" si="40"/>
        <v>#DIV/0!</v>
      </c>
      <c r="N108" s="494" t="e">
        <f t="shared" si="40"/>
        <v>#DIV/0!</v>
      </c>
      <c r="O108" s="494" t="e">
        <f t="shared" si="40"/>
        <v>#DIV/0!</v>
      </c>
      <c r="P108" s="494" t="e">
        <f t="shared" si="40"/>
        <v>#DIV/0!</v>
      </c>
      <c r="Q108" s="494" t="e">
        <f t="shared" si="40"/>
        <v>#DIV/0!</v>
      </c>
      <c r="R108" s="494" t="e">
        <f t="shared" si="40"/>
        <v>#DIV/0!</v>
      </c>
    </row>
    <row r="109" spans="1:18" x14ac:dyDescent="0.2">
      <c r="C109" s="16"/>
      <c r="F109" s="69"/>
      <c r="G109" s="198" t="s">
        <v>272</v>
      </c>
      <c r="H109" s="483">
        <f t="shared" ref="H109:R109" si="41">H95</f>
        <v>2011</v>
      </c>
      <c r="I109" s="483">
        <f t="shared" si="41"/>
        <v>2012</v>
      </c>
      <c r="J109" s="483">
        <f t="shared" si="41"/>
        <v>2013</v>
      </c>
      <c r="K109" s="483">
        <f t="shared" si="41"/>
        <v>2014</v>
      </c>
      <c r="L109" s="483">
        <f t="shared" si="41"/>
        <v>2015</v>
      </c>
      <c r="M109" s="483">
        <f t="shared" si="41"/>
        <v>2016</v>
      </c>
      <c r="N109" s="483">
        <f t="shared" si="41"/>
        <v>2017</v>
      </c>
      <c r="O109" s="483">
        <f t="shared" si="41"/>
        <v>2018</v>
      </c>
      <c r="P109" s="483">
        <f t="shared" si="41"/>
        <v>2019</v>
      </c>
      <c r="Q109" s="483">
        <f t="shared" si="41"/>
        <v>2020</v>
      </c>
      <c r="R109" s="483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486"/>
      <c r="F110" s="69"/>
      <c r="G110" s="18" t="s">
        <v>276</v>
      </c>
      <c r="H110" s="497" t="e">
        <f t="shared" ref="H110:R110" si="42">H10/H4</f>
        <v>#DIV/0!</v>
      </c>
      <c r="I110" s="497" t="e">
        <f t="shared" si="42"/>
        <v>#DIV/0!</v>
      </c>
      <c r="J110" s="497" t="e">
        <f t="shared" si="42"/>
        <v>#DIV/0!</v>
      </c>
      <c r="K110" s="497" t="e">
        <f t="shared" si="42"/>
        <v>#DIV/0!</v>
      </c>
      <c r="L110" s="497" t="e">
        <f t="shared" si="42"/>
        <v>#DIV/0!</v>
      </c>
      <c r="M110" s="497">
        <f t="shared" si="42"/>
        <v>0.52329936499486673</v>
      </c>
      <c r="N110" s="497">
        <f t="shared" si="42"/>
        <v>0.77290903525834065</v>
      </c>
      <c r="O110" s="497">
        <f t="shared" si="42"/>
        <v>0.6244112392398895</v>
      </c>
      <c r="P110" s="497">
        <f t="shared" si="42"/>
        <v>0.47225652554806163</v>
      </c>
      <c r="Q110" s="497">
        <f t="shared" si="42"/>
        <v>0.46875</v>
      </c>
      <c r="R110" s="497">
        <f t="shared" si="42"/>
        <v>0.47826086956521741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486"/>
      <c r="F111" s="69"/>
      <c r="G111" s="18" t="s">
        <v>280</v>
      </c>
      <c r="H111" s="497" t="e">
        <f t="shared" ref="H111:R111" si="43">-(H58)/H15</f>
        <v>#DIV/0!</v>
      </c>
      <c r="I111" s="497" t="e">
        <f t="shared" si="43"/>
        <v>#DIV/0!</v>
      </c>
      <c r="J111" s="497" t="e">
        <f t="shared" si="43"/>
        <v>#DIV/0!</v>
      </c>
      <c r="K111" s="497" t="e">
        <f t="shared" si="43"/>
        <v>#DIV/0!</v>
      </c>
      <c r="L111" s="497" t="e">
        <f t="shared" si="43"/>
        <v>#DIV/0!</v>
      </c>
      <c r="M111" s="497">
        <f t="shared" si="43"/>
        <v>0.1135533797162528</v>
      </c>
      <c r="N111" s="497">
        <f t="shared" si="43"/>
        <v>0.51097967578339565</v>
      </c>
      <c r="O111" s="497">
        <f t="shared" si="43"/>
        <v>0</v>
      </c>
      <c r="P111" s="497">
        <f t="shared" si="43"/>
        <v>0</v>
      </c>
      <c r="Q111" s="497">
        <f t="shared" si="43"/>
        <v>0.22222222222222221</v>
      </c>
      <c r="R111" s="497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486"/>
      <c r="F112" s="69"/>
      <c r="G112" s="477" t="s">
        <v>284</v>
      </c>
      <c r="H112" s="491" t="e">
        <f t="shared" ref="H112:R112" si="44">H33/H4</f>
        <v>#DIV/0!</v>
      </c>
      <c r="I112" s="491" t="e">
        <f t="shared" si="44"/>
        <v>#DIV/0!</v>
      </c>
      <c r="J112" s="491" t="e">
        <f t="shared" si="44"/>
        <v>#DIV/0!</v>
      </c>
      <c r="K112" s="491" t="e">
        <f t="shared" si="44"/>
        <v>#DIV/0!</v>
      </c>
      <c r="L112" s="491" t="e">
        <f t="shared" si="44"/>
        <v>#DIV/0!</v>
      </c>
      <c r="M112" s="491">
        <f t="shared" si="44"/>
        <v>3.5438419711776112</v>
      </c>
      <c r="N112" s="491">
        <f t="shared" si="44"/>
        <v>8.0957533989593315</v>
      </c>
      <c r="O112" s="491">
        <f t="shared" si="44"/>
        <v>7.5796146662335548</v>
      </c>
      <c r="P112" s="491">
        <f t="shared" si="44"/>
        <v>7.9689264642242703</v>
      </c>
      <c r="Q112" s="491">
        <f t="shared" si="44"/>
        <v>7.864583333333333</v>
      </c>
      <c r="R112" s="491">
        <f t="shared" si="44"/>
        <v>8.2608695652173907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486"/>
      <c r="F113" s="69"/>
      <c r="G113" s="186" t="s">
        <v>288</v>
      </c>
      <c r="H113" s="491" t="e">
        <f t="shared" ref="H113:R113" si="45">H33/H15</f>
        <v>#DIV/0!</v>
      </c>
      <c r="I113" s="491" t="e">
        <f t="shared" si="45"/>
        <v>#DIV/0!</v>
      </c>
      <c r="J113" s="491" t="e">
        <f t="shared" si="45"/>
        <v>#DIV/0!</v>
      </c>
      <c r="K113" s="491" t="e">
        <f t="shared" si="45"/>
        <v>#DIV/0!</v>
      </c>
      <c r="L113" s="491" t="e">
        <f t="shared" si="45"/>
        <v>#DIV/0!</v>
      </c>
      <c r="M113" s="491">
        <f t="shared" si="45"/>
        <v>6.7721121182946105</v>
      </c>
      <c r="N113" s="491">
        <f t="shared" si="45"/>
        <v>10.474393530997304</v>
      </c>
      <c r="O113" s="491">
        <f t="shared" si="45"/>
        <v>12.138818441930029</v>
      </c>
      <c r="P113" s="491">
        <f t="shared" si="45"/>
        <v>16.874147911405135</v>
      </c>
      <c r="Q113" s="491">
        <f t="shared" si="45"/>
        <v>16.777777777777779</v>
      </c>
      <c r="R113" s="491">
        <f t="shared" si="45"/>
        <v>17.272727272727273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488">
        <v>0.5</v>
      </c>
      <c r="E114" s="488">
        <f>1/3</f>
        <v>0.33333333333333331</v>
      </c>
      <c r="F114" s="69"/>
      <c r="G114" s="18" t="s">
        <v>292</v>
      </c>
      <c r="H114" s="497" t="e">
        <f t="shared" ref="H114:R114" si="46">H27/H4</f>
        <v>#DIV/0!</v>
      </c>
      <c r="I114" s="497" t="e">
        <f t="shared" si="46"/>
        <v>#DIV/0!</v>
      </c>
      <c r="J114" s="497" t="e">
        <f t="shared" si="46"/>
        <v>#DIV/0!</v>
      </c>
      <c r="K114" s="497" t="e">
        <f t="shared" si="46"/>
        <v>#DIV/0!</v>
      </c>
      <c r="L114" s="497" t="e">
        <f t="shared" si="46"/>
        <v>#DIV/0!</v>
      </c>
      <c r="M114" s="497">
        <f t="shared" si="46"/>
        <v>0.83653370850602682</v>
      </c>
      <c r="N114" s="497">
        <f t="shared" si="46"/>
        <v>0.86886977814200095</v>
      </c>
      <c r="O114" s="497">
        <f t="shared" si="46"/>
        <v>0.89329218775377617</v>
      </c>
      <c r="P114" s="497">
        <f t="shared" si="46"/>
        <v>0.92882851503541164</v>
      </c>
      <c r="Q114" s="497">
        <f t="shared" si="46"/>
        <v>0.91666666666666663</v>
      </c>
      <c r="R114" s="497">
        <f t="shared" si="46"/>
        <v>0.95652173913043481</v>
      </c>
    </row>
    <row r="115" spans="1:19" x14ac:dyDescent="0.2">
      <c r="A115" s="77"/>
      <c r="C115" s="77"/>
      <c r="D115" s="78"/>
      <c r="E115" s="79"/>
      <c r="F115" s="69"/>
      <c r="G115" s="475" t="s">
        <v>293</v>
      </c>
      <c r="H115" s="483">
        <f t="shared" ref="H115:R115" si="47">H109</f>
        <v>2011</v>
      </c>
      <c r="I115" s="483">
        <f t="shared" si="47"/>
        <v>2012</v>
      </c>
      <c r="J115" s="483">
        <f t="shared" si="47"/>
        <v>2013</v>
      </c>
      <c r="K115" s="483">
        <f t="shared" si="47"/>
        <v>2014</v>
      </c>
      <c r="L115" s="483">
        <f t="shared" si="47"/>
        <v>2015</v>
      </c>
      <c r="M115" s="483">
        <f t="shared" si="47"/>
        <v>2016</v>
      </c>
      <c r="N115" s="483">
        <f t="shared" si="47"/>
        <v>2017</v>
      </c>
      <c r="O115" s="483">
        <f t="shared" si="47"/>
        <v>2018</v>
      </c>
      <c r="P115" s="483">
        <f t="shared" si="47"/>
        <v>2019</v>
      </c>
      <c r="Q115" s="483">
        <f t="shared" si="47"/>
        <v>2020</v>
      </c>
      <c r="R115" s="483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488">
        <v>0.05</v>
      </c>
      <c r="G116" s="477" t="s">
        <v>297</v>
      </c>
      <c r="H116" s="490" t="e">
        <f t="shared" ref="H116:R116" si="48">H35/H33</f>
        <v>#DIV/0!</v>
      </c>
      <c r="I116" s="490" t="e">
        <f t="shared" si="48"/>
        <v>#DIV/0!</v>
      </c>
      <c r="J116" s="490" t="e">
        <f t="shared" si="48"/>
        <v>#DIV/0!</v>
      </c>
      <c r="K116" s="490" t="e">
        <f t="shared" si="48"/>
        <v>#DIV/0!</v>
      </c>
      <c r="L116" s="490" t="e">
        <f t="shared" si="48"/>
        <v>#DIV/0!</v>
      </c>
      <c r="M116" s="490">
        <f t="shared" si="48"/>
        <v>3.7012001137345159E-2</v>
      </c>
      <c r="N116" s="490">
        <f t="shared" si="48"/>
        <v>5.3905988930978387E-2</v>
      </c>
      <c r="O116" s="490">
        <f t="shared" si="48"/>
        <v>6.0266538812320622E-2</v>
      </c>
      <c r="P116" s="490">
        <f t="shared" si="48"/>
        <v>5.9602649006622516E-2</v>
      </c>
      <c r="Q116" s="490">
        <f t="shared" si="48"/>
        <v>5.9602649006622516E-2</v>
      </c>
      <c r="R116" s="490">
        <f t="shared" si="48"/>
        <v>6.5789473684210523E-2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488">
        <v>0.95</v>
      </c>
      <c r="G117" s="18" t="s">
        <v>301</v>
      </c>
      <c r="H117" s="497" t="e">
        <f t="shared" ref="H117:R117" si="49">(H36+H34)/H33</f>
        <v>#DIV/0!</v>
      </c>
      <c r="I117" s="497" t="e">
        <f t="shared" si="49"/>
        <v>#DIV/0!</v>
      </c>
      <c r="J117" s="497" t="e">
        <f t="shared" si="49"/>
        <v>#DIV/0!</v>
      </c>
      <c r="K117" s="497" t="e">
        <f t="shared" si="49"/>
        <v>#DIV/0!</v>
      </c>
      <c r="L117" s="497" t="e">
        <f t="shared" si="49"/>
        <v>#DIV/0!</v>
      </c>
      <c r="M117" s="497">
        <f t="shared" si="49"/>
        <v>0.96298799886265485</v>
      </c>
      <c r="N117" s="497">
        <f t="shared" si="49"/>
        <v>0.90455103140938542</v>
      </c>
      <c r="O117" s="497">
        <f t="shared" si="49"/>
        <v>0.93973346118767942</v>
      </c>
      <c r="P117" s="497">
        <f t="shared" si="49"/>
        <v>0.94039735099337751</v>
      </c>
      <c r="Q117" s="497">
        <f t="shared" si="49"/>
        <v>0.94039735099337751</v>
      </c>
      <c r="R117" s="497">
        <f t="shared" si="49"/>
        <v>0.93421052631578949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488">
        <v>0.95</v>
      </c>
      <c r="G118" s="186" t="s">
        <v>305</v>
      </c>
      <c r="H118" s="490" t="e">
        <f t="shared" ref="H118:R118" si="50">H38/(H38+H41)</f>
        <v>#DIV/0!</v>
      </c>
      <c r="I118" s="490" t="e">
        <f t="shared" si="50"/>
        <v>#DIV/0!</v>
      </c>
      <c r="J118" s="490" t="e">
        <f t="shared" si="50"/>
        <v>#DIV/0!</v>
      </c>
      <c r="K118" s="490" t="e">
        <f t="shared" si="50"/>
        <v>#DIV/0!</v>
      </c>
      <c r="L118" s="490" t="e">
        <f t="shared" si="50"/>
        <v>#DIV/0!</v>
      </c>
      <c r="M118" s="490">
        <f t="shared" si="50"/>
        <v>0</v>
      </c>
      <c r="N118" s="490">
        <f t="shared" si="50"/>
        <v>0</v>
      </c>
      <c r="O118" s="490">
        <f t="shared" si="50"/>
        <v>0</v>
      </c>
      <c r="P118" s="490">
        <f t="shared" si="50"/>
        <v>0</v>
      </c>
      <c r="Q118" s="490">
        <f t="shared" si="50"/>
        <v>0</v>
      </c>
      <c r="R118" s="490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475" t="s">
        <v>306</v>
      </c>
      <c r="H119" s="483">
        <f>H115</f>
        <v>2011</v>
      </c>
      <c r="I119" s="483">
        <f t="shared" ref="I119:R119" si="51">I115</f>
        <v>2012</v>
      </c>
      <c r="J119" s="483">
        <f t="shared" si="51"/>
        <v>2013</v>
      </c>
      <c r="K119" s="483">
        <f t="shared" si="51"/>
        <v>2014</v>
      </c>
      <c r="L119" s="483">
        <f t="shared" si="51"/>
        <v>2015</v>
      </c>
      <c r="M119" s="483">
        <f t="shared" si="51"/>
        <v>2016</v>
      </c>
      <c r="N119" s="483">
        <f t="shared" si="51"/>
        <v>2017</v>
      </c>
      <c r="O119" s="483">
        <f t="shared" si="51"/>
        <v>2018</v>
      </c>
      <c r="P119" s="483">
        <f t="shared" si="51"/>
        <v>2019</v>
      </c>
      <c r="Q119" s="483">
        <f t="shared" si="51"/>
        <v>2020</v>
      </c>
      <c r="R119" s="483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498">
        <v>0.5</v>
      </c>
      <c r="E120" s="499" t="s">
        <v>310</v>
      </c>
      <c r="F120" s="4"/>
      <c r="G120" s="477" t="s">
        <v>311</v>
      </c>
      <c r="H120" s="491" t="e">
        <f t="shared" ref="H120:R120" si="52">IF(H116&lt;$D$120,$E$120,H35/H4)</f>
        <v>#DIV/0!</v>
      </c>
      <c r="I120" s="491" t="e">
        <f t="shared" si="52"/>
        <v>#DIV/0!</v>
      </c>
      <c r="J120" s="491" t="e">
        <f t="shared" si="52"/>
        <v>#DIV/0!</v>
      </c>
      <c r="K120" s="491" t="e">
        <f t="shared" si="52"/>
        <v>#DIV/0!</v>
      </c>
      <c r="L120" s="491" t="e">
        <f t="shared" si="52"/>
        <v>#DIV/0!</v>
      </c>
      <c r="M120" s="491" t="str">
        <f t="shared" si="52"/>
        <v>N/A</v>
      </c>
      <c r="N120" s="491" t="str">
        <f t="shared" si="52"/>
        <v>N/A</v>
      </c>
      <c r="O120" s="491" t="str">
        <f t="shared" si="52"/>
        <v>N/A</v>
      </c>
      <c r="P120" s="491" t="str">
        <f t="shared" si="52"/>
        <v>N/A</v>
      </c>
      <c r="Q120" s="491" t="str">
        <f t="shared" si="52"/>
        <v>N/A</v>
      </c>
      <c r="R120" s="491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498">
        <v>0.5</v>
      </c>
      <c r="E121" s="499" t="s">
        <v>310</v>
      </c>
      <c r="F121" s="4"/>
      <c r="G121" s="18" t="s">
        <v>315</v>
      </c>
      <c r="H121" s="491" t="e">
        <f t="shared" ref="H121:R121" si="53">IF(H116&lt;$D$121,$E$121,H35/H15)</f>
        <v>#DIV/0!</v>
      </c>
      <c r="I121" s="491" t="e">
        <f t="shared" si="53"/>
        <v>#DIV/0!</v>
      </c>
      <c r="J121" s="491" t="e">
        <f t="shared" si="53"/>
        <v>#DIV/0!</v>
      </c>
      <c r="K121" s="491" t="e">
        <f t="shared" si="53"/>
        <v>#DIV/0!</v>
      </c>
      <c r="L121" s="491" t="e">
        <f t="shared" si="53"/>
        <v>#DIV/0!</v>
      </c>
      <c r="M121" s="491" t="str">
        <f t="shared" si="53"/>
        <v>N/A</v>
      </c>
      <c r="N121" s="491" t="str">
        <f t="shared" si="53"/>
        <v>N/A</v>
      </c>
      <c r="O121" s="491" t="str">
        <f t="shared" si="53"/>
        <v>N/A</v>
      </c>
      <c r="P121" s="491" t="str">
        <f t="shared" si="53"/>
        <v>N/A</v>
      </c>
      <c r="Q121" s="491" t="str">
        <f t="shared" si="53"/>
        <v>N/A</v>
      </c>
      <c r="R121" s="491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498">
        <v>0.5</v>
      </c>
      <c r="E122" s="499" t="s">
        <v>310</v>
      </c>
      <c r="F122" s="4"/>
      <c r="G122" s="477" t="s">
        <v>318</v>
      </c>
      <c r="H122" s="497" t="e">
        <f t="shared" ref="H122:R122" si="54">IF(H116&lt;$D$122,$E$122,H46/H33)</f>
        <v>#DIV/0!</v>
      </c>
      <c r="I122" s="497" t="e">
        <f t="shared" si="54"/>
        <v>#DIV/0!</v>
      </c>
      <c r="J122" s="497" t="e">
        <f t="shared" si="54"/>
        <v>#DIV/0!</v>
      </c>
      <c r="K122" s="497" t="e">
        <f t="shared" si="54"/>
        <v>#DIV/0!</v>
      </c>
      <c r="L122" s="497" t="e">
        <f t="shared" si="54"/>
        <v>#DIV/0!</v>
      </c>
      <c r="M122" s="497" t="str">
        <f t="shared" si="54"/>
        <v>N/A</v>
      </c>
      <c r="N122" s="497" t="str">
        <f t="shared" si="54"/>
        <v>N/A</v>
      </c>
      <c r="O122" s="497" t="str">
        <f t="shared" si="54"/>
        <v>N/A</v>
      </c>
      <c r="P122" s="497" t="str">
        <f t="shared" si="54"/>
        <v>N/A</v>
      </c>
      <c r="Q122" s="497" t="str">
        <f t="shared" si="54"/>
        <v>N/A</v>
      </c>
      <c r="R122" s="497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498">
        <v>0.5</v>
      </c>
      <c r="E123" s="499" t="s">
        <v>310</v>
      </c>
      <c r="F123" s="4"/>
      <c r="G123" s="18" t="s">
        <v>322</v>
      </c>
      <c r="H123" s="497" t="e">
        <f t="shared" ref="H123:R123" si="55">IF(H116&lt;$D$122,$E$123,H51/H33)</f>
        <v>#DIV/0!</v>
      </c>
      <c r="I123" s="497" t="e">
        <f t="shared" si="55"/>
        <v>#DIV/0!</v>
      </c>
      <c r="J123" s="497" t="e">
        <f t="shared" si="55"/>
        <v>#DIV/0!</v>
      </c>
      <c r="K123" s="497" t="e">
        <f t="shared" si="55"/>
        <v>#DIV/0!</v>
      </c>
      <c r="L123" s="497" t="e">
        <f t="shared" si="55"/>
        <v>#DIV/0!</v>
      </c>
      <c r="M123" s="497" t="str">
        <f t="shared" si="55"/>
        <v>N/A</v>
      </c>
      <c r="N123" s="497" t="str">
        <f t="shared" si="55"/>
        <v>N/A</v>
      </c>
      <c r="O123" s="497" t="str">
        <f t="shared" si="55"/>
        <v>N/A</v>
      </c>
      <c r="P123" s="497" t="str">
        <f t="shared" si="55"/>
        <v>N/A</v>
      </c>
      <c r="Q123" s="497" t="str">
        <f t="shared" si="55"/>
        <v>N/A</v>
      </c>
      <c r="R123" s="497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498">
        <v>0.5</v>
      </c>
      <c r="E124" s="499" t="s">
        <v>310</v>
      </c>
      <c r="F124" s="4"/>
      <c r="G124" s="18" t="s">
        <v>326</v>
      </c>
      <c r="H124" s="497" t="e">
        <f t="shared" ref="H124:R124" si="56">IF(H116&lt;$D$124,$E$124,H51/H4)</f>
        <v>#DIV/0!</v>
      </c>
      <c r="I124" s="497" t="e">
        <f t="shared" si="56"/>
        <v>#DIV/0!</v>
      </c>
      <c r="J124" s="497" t="e">
        <f t="shared" si="56"/>
        <v>#DIV/0!</v>
      </c>
      <c r="K124" s="497" t="e">
        <f t="shared" si="56"/>
        <v>#DIV/0!</v>
      </c>
      <c r="L124" s="497" t="e">
        <f t="shared" si="56"/>
        <v>#DIV/0!</v>
      </c>
      <c r="M124" s="497" t="str">
        <f t="shared" si="56"/>
        <v>N/A</v>
      </c>
      <c r="N124" s="497" t="str">
        <f t="shared" si="56"/>
        <v>N/A</v>
      </c>
      <c r="O124" s="497" t="str">
        <f t="shared" si="56"/>
        <v>N/A</v>
      </c>
      <c r="P124" s="497" t="str">
        <f t="shared" si="56"/>
        <v>N/A</v>
      </c>
      <c r="Q124" s="497" t="str">
        <f t="shared" si="56"/>
        <v>N/A</v>
      </c>
      <c r="R124" s="497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498">
        <v>0.5</v>
      </c>
      <c r="E125" s="499" t="s">
        <v>310</v>
      </c>
      <c r="F125" s="4"/>
      <c r="G125" s="186" t="s">
        <v>330</v>
      </c>
      <c r="H125" s="497" t="e">
        <f t="shared" ref="H125:R125" si="57">IF(H116&lt;$D$125,$E$125,H51/H27)</f>
        <v>#DIV/0!</v>
      </c>
      <c r="I125" s="497" t="e">
        <f t="shared" si="57"/>
        <v>#DIV/0!</v>
      </c>
      <c r="J125" s="497" t="e">
        <f t="shared" si="57"/>
        <v>#DIV/0!</v>
      </c>
      <c r="K125" s="497" t="e">
        <f t="shared" si="57"/>
        <v>#DIV/0!</v>
      </c>
      <c r="L125" s="497" t="e">
        <f t="shared" si="57"/>
        <v>#DIV/0!</v>
      </c>
      <c r="M125" s="497" t="str">
        <f t="shared" si="57"/>
        <v>N/A</v>
      </c>
      <c r="N125" s="497" t="str">
        <f t="shared" si="57"/>
        <v>N/A</v>
      </c>
      <c r="O125" s="497" t="str">
        <f t="shared" si="57"/>
        <v>N/A</v>
      </c>
      <c r="P125" s="497" t="str">
        <f t="shared" si="57"/>
        <v>N/A</v>
      </c>
      <c r="Q125" s="497" t="str">
        <f t="shared" si="57"/>
        <v>N/A</v>
      </c>
      <c r="R125" s="497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483">
        <f>H119</f>
        <v>2011</v>
      </c>
      <c r="I127" s="483">
        <f t="shared" ref="I127:R127" si="58">I119</f>
        <v>2012</v>
      </c>
      <c r="J127" s="483">
        <f t="shared" si="58"/>
        <v>2013</v>
      </c>
      <c r="K127" s="483">
        <f t="shared" si="58"/>
        <v>2014</v>
      </c>
      <c r="L127" s="483">
        <f t="shared" si="58"/>
        <v>2015</v>
      </c>
      <c r="M127" s="483">
        <f t="shared" si="58"/>
        <v>2016</v>
      </c>
      <c r="N127" s="483">
        <f t="shared" si="58"/>
        <v>2017</v>
      </c>
      <c r="O127" s="483">
        <f t="shared" si="58"/>
        <v>2018</v>
      </c>
      <c r="P127" s="483">
        <f t="shared" si="58"/>
        <v>2019</v>
      </c>
      <c r="Q127" s="483">
        <f t="shared" si="58"/>
        <v>2020</v>
      </c>
      <c r="R127" s="483">
        <f t="shared" si="58"/>
        <v>2021</v>
      </c>
    </row>
    <row r="128" spans="1:19" x14ac:dyDescent="0.2">
      <c r="G128" s="500" t="s">
        <v>331</v>
      </c>
      <c r="H128" s="501">
        <f t="shared" ref="H128:R128" si="59">H33</f>
        <v>0</v>
      </c>
      <c r="I128" s="501">
        <f t="shared" si="59"/>
        <v>0</v>
      </c>
      <c r="J128" s="501">
        <f t="shared" si="59"/>
        <v>0</v>
      </c>
      <c r="K128" s="501">
        <f t="shared" si="59"/>
        <v>0</v>
      </c>
      <c r="L128" s="501">
        <f t="shared" si="59"/>
        <v>0</v>
      </c>
      <c r="M128" s="501">
        <f t="shared" si="59"/>
        <v>372.798</v>
      </c>
      <c r="N128" s="501">
        <f t="shared" si="59"/>
        <v>819.94600000000003</v>
      </c>
      <c r="O128" s="501">
        <f t="shared" si="59"/>
        <v>746.68299999999999</v>
      </c>
      <c r="P128" s="501">
        <f t="shared" si="59"/>
        <v>755</v>
      </c>
      <c r="Q128" s="501">
        <f t="shared" si="59"/>
        <v>755</v>
      </c>
      <c r="R128" s="501">
        <f t="shared" si="59"/>
        <v>760</v>
      </c>
    </row>
    <row r="129" spans="3:19" x14ac:dyDescent="0.2">
      <c r="G129" s="500" t="s">
        <v>332</v>
      </c>
      <c r="H129" s="501">
        <f t="shared" ref="H129:R130" si="60">H35</f>
        <v>0</v>
      </c>
      <c r="I129" s="501">
        <f t="shared" si="60"/>
        <v>0</v>
      </c>
      <c r="J129" s="501">
        <f t="shared" si="60"/>
        <v>0</v>
      </c>
      <c r="K129" s="501">
        <f t="shared" si="60"/>
        <v>0</v>
      </c>
      <c r="L129" s="501">
        <f t="shared" si="60"/>
        <v>0</v>
      </c>
      <c r="M129" s="501">
        <f t="shared" si="60"/>
        <v>13.798</v>
      </c>
      <c r="N129" s="501">
        <f t="shared" si="60"/>
        <v>44.2</v>
      </c>
      <c r="O129" s="501">
        <f t="shared" si="60"/>
        <v>45</v>
      </c>
      <c r="P129" s="501">
        <f t="shared" si="60"/>
        <v>45</v>
      </c>
      <c r="Q129" s="501">
        <f t="shared" si="60"/>
        <v>45</v>
      </c>
      <c r="R129" s="501">
        <f t="shared" si="60"/>
        <v>50</v>
      </c>
    </row>
    <row r="130" spans="3:19" x14ac:dyDescent="0.2">
      <c r="G130" s="500" t="s">
        <v>333</v>
      </c>
      <c r="H130" s="501">
        <f t="shared" si="60"/>
        <v>0</v>
      </c>
      <c r="I130" s="501">
        <f t="shared" si="60"/>
        <v>0</v>
      </c>
      <c r="J130" s="501">
        <f t="shared" si="60"/>
        <v>0</v>
      </c>
      <c r="K130" s="501">
        <f t="shared" si="60"/>
        <v>0</v>
      </c>
      <c r="L130" s="501">
        <f t="shared" si="60"/>
        <v>0</v>
      </c>
      <c r="M130" s="501">
        <f t="shared" si="60"/>
        <v>359</v>
      </c>
      <c r="N130" s="501">
        <f t="shared" si="60"/>
        <v>741.68299999999999</v>
      </c>
      <c r="O130" s="501">
        <f t="shared" si="60"/>
        <v>701.68299999999999</v>
      </c>
      <c r="P130" s="501">
        <f t="shared" si="60"/>
        <v>710</v>
      </c>
      <c r="Q130" s="501">
        <f t="shared" si="60"/>
        <v>710</v>
      </c>
      <c r="R130" s="501">
        <f t="shared" si="60"/>
        <v>710</v>
      </c>
    </row>
    <row r="131" spans="3:19" x14ac:dyDescent="0.2">
      <c r="G131" s="500" t="s">
        <v>334</v>
      </c>
      <c r="H131" s="501">
        <f t="shared" ref="H131:R131" si="61">H38+H41</f>
        <v>0</v>
      </c>
      <c r="I131" s="501">
        <f t="shared" si="61"/>
        <v>0</v>
      </c>
      <c r="J131" s="501">
        <f t="shared" si="61"/>
        <v>0</v>
      </c>
      <c r="K131" s="501">
        <f t="shared" si="61"/>
        <v>0</v>
      </c>
      <c r="L131" s="501">
        <f t="shared" si="61"/>
        <v>0</v>
      </c>
      <c r="M131" s="501">
        <f t="shared" si="61"/>
        <v>-324.60899999999998</v>
      </c>
      <c r="N131" s="501">
        <f t="shared" si="61"/>
        <v>-819.46100000000001</v>
      </c>
      <c r="O131" s="501">
        <f t="shared" si="61"/>
        <v>-746.76800000000003</v>
      </c>
      <c r="P131" s="501">
        <f t="shared" si="61"/>
        <v>-754.76800000000003</v>
      </c>
      <c r="Q131" s="501">
        <f t="shared" si="61"/>
        <v>-754.76800000000003</v>
      </c>
      <c r="R131" s="501">
        <f t="shared" si="61"/>
        <v>-755.60500000000002</v>
      </c>
    </row>
    <row r="132" spans="3:19" x14ac:dyDescent="0.2">
      <c r="G132" s="500" t="s">
        <v>335</v>
      </c>
      <c r="H132" s="501">
        <f t="shared" ref="H132:R132" si="62">H41</f>
        <v>0</v>
      </c>
      <c r="I132" s="501">
        <f t="shared" si="62"/>
        <v>0</v>
      </c>
      <c r="J132" s="501">
        <f t="shared" si="62"/>
        <v>0</v>
      </c>
      <c r="K132" s="501">
        <f t="shared" si="62"/>
        <v>0</v>
      </c>
      <c r="L132" s="501">
        <f t="shared" si="62"/>
        <v>0</v>
      </c>
      <c r="M132" s="501">
        <f t="shared" si="62"/>
        <v>-324.60899999999998</v>
      </c>
      <c r="N132" s="501">
        <f t="shared" si="62"/>
        <v>-819.46100000000001</v>
      </c>
      <c r="O132" s="501">
        <f t="shared" si="62"/>
        <v>-746.76800000000003</v>
      </c>
      <c r="P132" s="501">
        <f t="shared" si="62"/>
        <v>-754.76800000000003</v>
      </c>
      <c r="Q132" s="501">
        <f t="shared" si="62"/>
        <v>-754.76800000000003</v>
      </c>
      <c r="R132" s="501">
        <f t="shared" si="62"/>
        <v>-755.60500000000002</v>
      </c>
    </row>
    <row r="133" spans="3:19" x14ac:dyDescent="0.2">
      <c r="G133" s="500" t="s">
        <v>336</v>
      </c>
      <c r="H133" s="501">
        <f t="shared" ref="H133:R133" si="63">H38</f>
        <v>0</v>
      </c>
      <c r="I133" s="501">
        <f t="shared" si="63"/>
        <v>0</v>
      </c>
      <c r="J133" s="501">
        <f t="shared" si="63"/>
        <v>0</v>
      </c>
      <c r="K133" s="501">
        <f t="shared" si="63"/>
        <v>0</v>
      </c>
      <c r="L133" s="501">
        <f t="shared" si="63"/>
        <v>0</v>
      </c>
      <c r="M133" s="501">
        <f t="shared" si="63"/>
        <v>0</v>
      </c>
      <c r="N133" s="501">
        <f t="shared" si="63"/>
        <v>0</v>
      </c>
      <c r="O133" s="501">
        <f t="shared" si="63"/>
        <v>0</v>
      </c>
      <c r="P133" s="501">
        <f t="shared" si="63"/>
        <v>0</v>
      </c>
      <c r="Q133" s="501">
        <f t="shared" si="63"/>
        <v>0</v>
      </c>
      <c r="R133" s="501">
        <f t="shared" si="63"/>
        <v>0</v>
      </c>
    </row>
    <row r="134" spans="3:19" x14ac:dyDescent="0.2">
      <c r="G134" s="500" t="s">
        <v>337</v>
      </c>
      <c r="H134" s="501">
        <f t="shared" ref="H134:R134" si="64">H46</f>
        <v>0</v>
      </c>
      <c r="I134" s="501">
        <f t="shared" si="64"/>
        <v>0</v>
      </c>
      <c r="J134" s="501">
        <f t="shared" si="64"/>
        <v>0</v>
      </c>
      <c r="K134" s="501">
        <f t="shared" si="64"/>
        <v>0</v>
      </c>
      <c r="L134" s="501">
        <f t="shared" si="64"/>
        <v>0</v>
      </c>
      <c r="M134" s="501">
        <f t="shared" si="64"/>
        <v>48.189000000000021</v>
      </c>
      <c r="N134" s="501">
        <f t="shared" si="64"/>
        <v>0.48500000000001364</v>
      </c>
      <c r="O134" s="501">
        <f t="shared" si="64"/>
        <v>-8.500000000003638E-2</v>
      </c>
      <c r="P134" s="501">
        <f t="shared" si="64"/>
        <v>0.2319999999999709</v>
      </c>
      <c r="Q134" s="501">
        <f t="shared" si="64"/>
        <v>0.2319999999999709</v>
      </c>
      <c r="R134" s="501">
        <f t="shared" si="64"/>
        <v>0</v>
      </c>
    </row>
    <row r="135" spans="3:19" x14ac:dyDescent="0.2">
      <c r="G135" s="500" t="s">
        <v>338</v>
      </c>
      <c r="H135" s="501">
        <f t="shared" ref="H135:R135" si="65">H51</f>
        <v>0</v>
      </c>
      <c r="I135" s="501">
        <f t="shared" si="65"/>
        <v>0</v>
      </c>
      <c r="J135" s="501">
        <f t="shared" si="65"/>
        <v>0</v>
      </c>
      <c r="K135" s="501">
        <f t="shared" si="65"/>
        <v>0</v>
      </c>
      <c r="L135" s="501">
        <f t="shared" si="65"/>
        <v>0</v>
      </c>
      <c r="M135" s="501">
        <f t="shared" si="65"/>
        <v>48.189000000000021</v>
      </c>
      <c r="N135" s="501">
        <f t="shared" si="65"/>
        <v>0.48500000000001364</v>
      </c>
      <c r="O135" s="501">
        <f t="shared" si="65"/>
        <v>-8.500000000003638E-2</v>
      </c>
      <c r="P135" s="501">
        <f t="shared" si="65"/>
        <v>0.2319999999999709</v>
      </c>
      <c r="Q135" s="501">
        <f t="shared" si="65"/>
        <v>0.2319999999999709</v>
      </c>
      <c r="R135" s="501">
        <f t="shared" si="65"/>
        <v>0</v>
      </c>
    </row>
    <row r="136" spans="3:19" x14ac:dyDescent="0.2">
      <c r="G136" s="500" t="s">
        <v>339</v>
      </c>
      <c r="H136" s="501">
        <f t="shared" ref="H136:R137" si="66">H4</f>
        <v>0</v>
      </c>
      <c r="I136" s="501">
        <f t="shared" si="66"/>
        <v>0</v>
      </c>
      <c r="J136" s="501">
        <f t="shared" si="66"/>
        <v>0</v>
      </c>
      <c r="K136" s="501">
        <f t="shared" si="66"/>
        <v>0</v>
      </c>
      <c r="L136" s="501">
        <f t="shared" si="66"/>
        <v>0</v>
      </c>
      <c r="M136" s="501">
        <f t="shared" si="66"/>
        <v>105.196</v>
      </c>
      <c r="N136" s="501">
        <f t="shared" si="66"/>
        <v>101.28100000000001</v>
      </c>
      <c r="O136" s="501">
        <f t="shared" si="66"/>
        <v>98.512</v>
      </c>
      <c r="P136" s="501">
        <f t="shared" si="66"/>
        <v>94.742999999999995</v>
      </c>
      <c r="Q136" s="501">
        <f t="shared" si="66"/>
        <v>96</v>
      </c>
      <c r="R136" s="501">
        <f t="shared" si="66"/>
        <v>92</v>
      </c>
    </row>
    <row r="137" spans="3:19" x14ac:dyDescent="0.2">
      <c r="G137" s="500" t="s">
        <v>340</v>
      </c>
      <c r="H137" s="501">
        <f t="shared" si="66"/>
        <v>0</v>
      </c>
      <c r="I137" s="501">
        <f t="shared" si="66"/>
        <v>0</v>
      </c>
      <c r="J137" s="501">
        <f t="shared" si="66"/>
        <v>0</v>
      </c>
      <c r="K137" s="501">
        <f t="shared" si="66"/>
        <v>0</v>
      </c>
      <c r="L137" s="501">
        <f t="shared" si="66"/>
        <v>0</v>
      </c>
      <c r="M137" s="501">
        <f t="shared" si="66"/>
        <v>50.146999999999998</v>
      </c>
      <c r="N137" s="501">
        <f t="shared" si="66"/>
        <v>23</v>
      </c>
      <c r="O137" s="501">
        <f t="shared" si="66"/>
        <v>37</v>
      </c>
      <c r="P137" s="501">
        <f t="shared" si="66"/>
        <v>50</v>
      </c>
      <c r="Q137" s="501">
        <f t="shared" si="66"/>
        <v>51</v>
      </c>
      <c r="R137" s="501">
        <f t="shared" si="66"/>
        <v>48</v>
      </c>
    </row>
    <row r="138" spans="3:19" x14ac:dyDescent="0.2">
      <c r="G138" s="500" t="s">
        <v>341</v>
      </c>
      <c r="H138" s="501">
        <f t="shared" ref="H138:R138" si="67">H10</f>
        <v>0</v>
      </c>
      <c r="I138" s="501">
        <f t="shared" si="67"/>
        <v>0</v>
      </c>
      <c r="J138" s="501">
        <f t="shared" si="67"/>
        <v>0</v>
      </c>
      <c r="K138" s="501">
        <f t="shared" si="67"/>
        <v>0</v>
      </c>
      <c r="L138" s="501">
        <f t="shared" si="67"/>
        <v>0</v>
      </c>
      <c r="M138" s="501">
        <f t="shared" si="67"/>
        <v>55.048999999999999</v>
      </c>
      <c r="N138" s="501">
        <f t="shared" si="67"/>
        <v>78.281000000000006</v>
      </c>
      <c r="O138" s="501">
        <f t="shared" si="67"/>
        <v>61.512</v>
      </c>
      <c r="P138" s="501">
        <f t="shared" si="67"/>
        <v>44.743000000000002</v>
      </c>
      <c r="Q138" s="501">
        <f t="shared" si="67"/>
        <v>45</v>
      </c>
      <c r="R138" s="501">
        <f t="shared" si="67"/>
        <v>44</v>
      </c>
    </row>
    <row r="139" spans="3:19" x14ac:dyDescent="0.2">
      <c r="G139" s="500" t="s">
        <v>342</v>
      </c>
      <c r="H139" s="501">
        <f t="shared" ref="H139:R140" si="68">H19</f>
        <v>0</v>
      </c>
      <c r="I139" s="501">
        <f t="shared" si="68"/>
        <v>0</v>
      </c>
      <c r="J139" s="501">
        <f t="shared" si="68"/>
        <v>0</v>
      </c>
      <c r="K139" s="501">
        <f t="shared" si="68"/>
        <v>0</v>
      </c>
      <c r="L139" s="501">
        <f t="shared" si="68"/>
        <v>0</v>
      </c>
      <c r="M139" s="501">
        <f t="shared" si="68"/>
        <v>17</v>
      </c>
      <c r="N139" s="501">
        <f t="shared" si="68"/>
        <v>13</v>
      </c>
      <c r="O139" s="501">
        <f t="shared" si="68"/>
        <v>11</v>
      </c>
      <c r="P139" s="501">
        <f t="shared" si="68"/>
        <v>7</v>
      </c>
      <c r="Q139" s="501">
        <f t="shared" si="68"/>
        <v>8</v>
      </c>
      <c r="R139" s="501">
        <f t="shared" si="68"/>
        <v>4</v>
      </c>
    </row>
    <row r="140" spans="3:19" x14ac:dyDescent="0.2">
      <c r="G140" s="500" t="s">
        <v>343</v>
      </c>
      <c r="H140" s="501">
        <f t="shared" si="68"/>
        <v>0</v>
      </c>
      <c r="I140" s="501">
        <f t="shared" si="68"/>
        <v>0</v>
      </c>
      <c r="J140" s="501">
        <f t="shared" si="68"/>
        <v>0</v>
      </c>
      <c r="K140" s="501">
        <f t="shared" si="68"/>
        <v>0</v>
      </c>
      <c r="L140" s="501">
        <f t="shared" si="68"/>
        <v>0</v>
      </c>
      <c r="M140" s="501">
        <f t="shared" si="68"/>
        <v>0</v>
      </c>
      <c r="N140" s="501">
        <f t="shared" si="68"/>
        <v>0</v>
      </c>
      <c r="O140" s="501">
        <f t="shared" si="68"/>
        <v>0</v>
      </c>
      <c r="P140" s="501">
        <f t="shared" si="68"/>
        <v>0</v>
      </c>
      <c r="Q140" s="501">
        <f t="shared" si="68"/>
        <v>0</v>
      </c>
      <c r="R140" s="501">
        <f t="shared" si="68"/>
        <v>0</v>
      </c>
    </row>
    <row r="141" spans="3:19" x14ac:dyDescent="0.2">
      <c r="G141" s="500" t="s">
        <v>344</v>
      </c>
      <c r="H141" s="501">
        <f t="shared" ref="H141:R141" si="69">H24</f>
        <v>0</v>
      </c>
      <c r="I141" s="501">
        <f t="shared" si="69"/>
        <v>0</v>
      </c>
      <c r="J141" s="501">
        <f t="shared" si="69"/>
        <v>0</v>
      </c>
      <c r="K141" s="501">
        <f t="shared" si="69"/>
        <v>0</v>
      </c>
      <c r="L141" s="501">
        <f t="shared" si="69"/>
        <v>0</v>
      </c>
      <c r="M141" s="501">
        <f t="shared" si="69"/>
        <v>0</v>
      </c>
      <c r="N141" s="501">
        <f t="shared" si="69"/>
        <v>0</v>
      </c>
      <c r="O141" s="501">
        <f t="shared" si="69"/>
        <v>0</v>
      </c>
      <c r="P141" s="501">
        <f t="shared" si="69"/>
        <v>0</v>
      </c>
      <c r="Q141" s="501">
        <f t="shared" si="69"/>
        <v>0</v>
      </c>
      <c r="R141" s="501">
        <f t="shared" si="69"/>
        <v>0</v>
      </c>
    </row>
    <row r="142" spans="3:19" x14ac:dyDescent="0.2">
      <c r="G142" s="500" t="s">
        <v>345</v>
      </c>
      <c r="H142" s="501">
        <f t="shared" ref="H142:R142" si="70">H27</f>
        <v>0</v>
      </c>
      <c r="I142" s="501">
        <f t="shared" si="70"/>
        <v>0</v>
      </c>
      <c r="J142" s="501">
        <f t="shared" si="70"/>
        <v>0</v>
      </c>
      <c r="K142" s="501">
        <f t="shared" si="70"/>
        <v>0</v>
      </c>
      <c r="L142" s="501">
        <f t="shared" si="70"/>
        <v>0</v>
      </c>
      <c r="M142" s="501">
        <f t="shared" si="70"/>
        <v>88</v>
      </c>
      <c r="N142" s="501">
        <f t="shared" si="70"/>
        <v>88</v>
      </c>
      <c r="O142" s="501">
        <f t="shared" si="70"/>
        <v>88</v>
      </c>
      <c r="P142" s="501">
        <f t="shared" si="70"/>
        <v>88</v>
      </c>
      <c r="Q142" s="501">
        <f t="shared" si="70"/>
        <v>88</v>
      </c>
      <c r="R142" s="501">
        <f t="shared" si="70"/>
        <v>88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217" priority="51" stopIfTrue="1" operator="greaterThan">
      <formula>$E$116</formula>
    </cfRule>
    <cfRule type="cellIs" dxfId="1216" priority="52" stopIfTrue="1" operator="lessThanOrEqual">
      <formula>$E$116</formula>
    </cfRule>
  </conditionalFormatting>
  <conditionalFormatting sqref="H118:Q118">
    <cfRule type="cellIs" dxfId="1215" priority="49" stopIfTrue="1" operator="lessThanOrEqual">
      <formula>$E$118</formula>
    </cfRule>
    <cfRule type="cellIs" dxfId="1214" priority="50" stopIfTrue="1" operator="greaterThan">
      <formula>$E$118</formula>
    </cfRule>
  </conditionalFormatting>
  <conditionalFormatting sqref="H99:Q99">
    <cfRule type="cellIs" dxfId="1213" priority="47" operator="greaterThan">
      <formula>$E$99</formula>
    </cfRule>
    <cfRule type="cellIs" dxfId="1212" priority="48" operator="lessThanOrEqual">
      <formula>$E$99</formula>
    </cfRule>
  </conditionalFormatting>
  <conditionalFormatting sqref="H102:Q102">
    <cfRule type="cellIs" dxfId="1211" priority="45" stopIfTrue="1" operator="greaterThanOrEqual">
      <formula>$E$102</formula>
    </cfRule>
    <cfRule type="cellIs" dxfId="1210" priority="46" stopIfTrue="1" operator="lessThan">
      <formula>$E$102</formula>
    </cfRule>
  </conditionalFormatting>
  <conditionalFormatting sqref="H104:Q104">
    <cfRule type="cellIs" dxfId="1209" priority="43" stopIfTrue="1" operator="lessThan">
      <formula>$E$104</formula>
    </cfRule>
    <cfRule type="cellIs" dxfId="1208" priority="44" stopIfTrue="1" operator="greaterThanOrEqual">
      <formula>$E$104</formula>
    </cfRule>
  </conditionalFormatting>
  <conditionalFormatting sqref="H103:Q103">
    <cfRule type="cellIs" dxfId="1207" priority="41" stopIfTrue="1" operator="greaterThan">
      <formula>$E$103</formula>
    </cfRule>
    <cfRule type="cellIs" dxfId="1206" priority="42" stopIfTrue="1" operator="lessThanOrEqual">
      <formula>$E$103</formula>
    </cfRule>
  </conditionalFormatting>
  <conditionalFormatting sqref="H100:Q100">
    <cfRule type="cellIs" dxfId="1205" priority="30" stopIfTrue="1" operator="between">
      <formula>$D$100</formula>
      <formula>$E$100</formula>
    </cfRule>
    <cfRule type="cellIs" dxfId="1204" priority="39" stopIfTrue="1" operator="lessThanOrEqual">
      <formula>$D$100</formula>
    </cfRule>
    <cfRule type="cellIs" dxfId="1203" priority="40" stopIfTrue="1" operator="greaterThan">
      <formula>$E$100</formula>
    </cfRule>
  </conditionalFormatting>
  <conditionalFormatting sqref="H117:Q117">
    <cfRule type="cellIs" dxfId="1202" priority="37" stopIfTrue="1" operator="greaterThan">
      <formula>$E$117</formula>
    </cfRule>
    <cfRule type="cellIs" dxfId="1201" priority="38" stopIfTrue="1" operator="lessThanOrEqual">
      <formula>$E$117</formula>
    </cfRule>
  </conditionalFormatting>
  <conditionalFormatting sqref="H107:Q107">
    <cfRule type="cellIs" dxfId="1200" priority="35" stopIfTrue="1" operator="greaterThan">
      <formula>$E$107</formula>
    </cfRule>
    <cfRule type="cellIs" dxfId="1199" priority="36" stopIfTrue="1" operator="lessThanOrEqual">
      <formula>$E$107</formula>
    </cfRule>
  </conditionalFormatting>
  <conditionalFormatting sqref="H108:Q108">
    <cfRule type="cellIs" dxfId="1198" priority="33" stopIfTrue="1" operator="lessThan">
      <formula>$E$108</formula>
    </cfRule>
    <cfRule type="cellIs" dxfId="1197" priority="34" stopIfTrue="1" operator="greaterThanOrEqual">
      <formula>$E$108</formula>
    </cfRule>
  </conditionalFormatting>
  <conditionalFormatting sqref="H93:Q93">
    <cfRule type="cellIs" dxfId="1196" priority="53" stopIfTrue="1" operator="lessThan">
      <formula>$D$93</formula>
    </cfRule>
    <cfRule type="cellIs" dxfId="1195" priority="54" stopIfTrue="1" operator="between">
      <formula>$D$93</formula>
      <formula>$E$93</formula>
    </cfRule>
    <cfRule type="cellIs" dxfId="1194" priority="55" stopIfTrue="1" operator="greaterThan">
      <formula>$E$93</formula>
    </cfRule>
  </conditionalFormatting>
  <conditionalFormatting sqref="H114:Q114">
    <cfRule type="cellIs" dxfId="1193" priority="56" stopIfTrue="1" operator="lessThan">
      <formula>$E$114</formula>
    </cfRule>
    <cfRule type="cellIs" dxfId="1192" priority="57" stopIfTrue="1" operator="between">
      <formula>$D$114</formula>
      <formula>$E$114</formula>
    </cfRule>
    <cfRule type="cellIs" dxfId="1191" priority="58" stopIfTrue="1" operator="greaterThanOrEqual">
      <formula>$D$114</formula>
    </cfRule>
  </conditionalFormatting>
  <conditionalFormatting sqref="H90:Q90">
    <cfRule type="cellIs" dxfId="1190" priority="31" stopIfTrue="1" operator="lessThan">
      <formula>$E$90</formula>
    </cfRule>
    <cfRule type="cellIs" dxfId="1189" priority="32" stopIfTrue="1" operator="greaterThan">
      <formula>$E$90</formula>
    </cfRule>
  </conditionalFormatting>
  <conditionalFormatting sqref="R116">
    <cfRule type="cellIs" dxfId="1188" priority="22" stopIfTrue="1" operator="greaterThan">
      <formula>$E$116</formula>
    </cfRule>
    <cfRule type="cellIs" dxfId="1187" priority="23" stopIfTrue="1" operator="lessThanOrEqual">
      <formula>$E$116</formula>
    </cfRule>
  </conditionalFormatting>
  <conditionalFormatting sqref="R118">
    <cfRule type="cellIs" dxfId="1186" priority="20" stopIfTrue="1" operator="lessThanOrEqual">
      <formula>$E$118</formula>
    </cfRule>
    <cfRule type="cellIs" dxfId="1185" priority="21" stopIfTrue="1" operator="greaterThan">
      <formula>$E$118</formula>
    </cfRule>
  </conditionalFormatting>
  <conditionalFormatting sqref="R99">
    <cfRule type="cellIs" dxfId="1184" priority="18" operator="greaterThan">
      <formula>$E$99</formula>
    </cfRule>
    <cfRule type="cellIs" dxfId="1183" priority="19" operator="lessThanOrEqual">
      <formula>$E$99</formula>
    </cfRule>
  </conditionalFormatting>
  <conditionalFormatting sqref="R102">
    <cfRule type="cellIs" dxfId="1182" priority="16" stopIfTrue="1" operator="greaterThanOrEqual">
      <formula>$E$102</formula>
    </cfRule>
    <cfRule type="cellIs" dxfId="1181" priority="17" stopIfTrue="1" operator="lessThan">
      <formula>$E$102</formula>
    </cfRule>
  </conditionalFormatting>
  <conditionalFormatting sqref="R104">
    <cfRule type="cellIs" dxfId="1180" priority="14" stopIfTrue="1" operator="lessThan">
      <formula>$E$104</formula>
    </cfRule>
    <cfRule type="cellIs" dxfId="1179" priority="15" stopIfTrue="1" operator="greaterThanOrEqual">
      <formula>$E$104</formula>
    </cfRule>
  </conditionalFormatting>
  <conditionalFormatting sqref="R103">
    <cfRule type="cellIs" dxfId="1178" priority="12" stopIfTrue="1" operator="greaterThan">
      <formula>$E$103</formula>
    </cfRule>
    <cfRule type="cellIs" dxfId="1177" priority="13" stopIfTrue="1" operator="lessThanOrEqual">
      <formula>$E$103</formula>
    </cfRule>
  </conditionalFormatting>
  <conditionalFormatting sqref="R100">
    <cfRule type="cellIs" dxfId="1176" priority="1" stopIfTrue="1" operator="between">
      <formula>$D$100</formula>
      <formula>$E$100</formula>
    </cfRule>
    <cfRule type="cellIs" dxfId="1175" priority="10" stopIfTrue="1" operator="lessThanOrEqual">
      <formula>$D$100</formula>
    </cfRule>
    <cfRule type="cellIs" dxfId="1174" priority="11" stopIfTrue="1" operator="greaterThan">
      <formula>$E$100</formula>
    </cfRule>
  </conditionalFormatting>
  <conditionalFormatting sqref="R117">
    <cfRule type="cellIs" dxfId="1173" priority="8" stopIfTrue="1" operator="greaterThan">
      <formula>$E$117</formula>
    </cfRule>
    <cfRule type="cellIs" dxfId="1172" priority="9" stopIfTrue="1" operator="lessThanOrEqual">
      <formula>$E$117</formula>
    </cfRule>
  </conditionalFormatting>
  <conditionalFormatting sqref="R107">
    <cfRule type="cellIs" dxfId="1171" priority="6" stopIfTrue="1" operator="greaterThan">
      <formula>$E$107</formula>
    </cfRule>
    <cfRule type="cellIs" dxfId="1170" priority="7" stopIfTrue="1" operator="lessThanOrEqual">
      <formula>$E$107</formula>
    </cfRule>
  </conditionalFormatting>
  <conditionalFormatting sqref="R108">
    <cfRule type="cellIs" dxfId="1169" priority="4" stopIfTrue="1" operator="lessThan">
      <formula>$E$108</formula>
    </cfRule>
    <cfRule type="cellIs" dxfId="1168" priority="5" stopIfTrue="1" operator="greaterThanOrEqual">
      <formula>$E$108</formula>
    </cfRule>
  </conditionalFormatting>
  <conditionalFormatting sqref="R93">
    <cfRule type="cellIs" dxfId="1167" priority="24" stopIfTrue="1" operator="lessThan">
      <formula>$D$93</formula>
    </cfRule>
    <cfRule type="cellIs" dxfId="1166" priority="25" stopIfTrue="1" operator="between">
      <formula>$D$93</formula>
      <formula>$E$93</formula>
    </cfRule>
    <cfRule type="cellIs" dxfId="1165" priority="26" stopIfTrue="1" operator="greaterThan">
      <formula>$E$93</formula>
    </cfRule>
  </conditionalFormatting>
  <conditionalFormatting sqref="R114">
    <cfRule type="cellIs" dxfId="1164" priority="27" stopIfTrue="1" operator="lessThan">
      <formula>$E$114</formula>
    </cfRule>
    <cfRule type="cellIs" dxfId="1163" priority="28" stopIfTrue="1" operator="between">
      <formula>$D$114</formula>
      <formula>$E$114</formula>
    </cfRule>
    <cfRule type="cellIs" dxfId="1162" priority="29" stopIfTrue="1" operator="greaterThanOrEqual">
      <formula>$D$114</formula>
    </cfRule>
  </conditionalFormatting>
  <conditionalFormatting sqref="R90">
    <cfRule type="cellIs" dxfId="1161" priority="2" stopIfTrue="1" operator="lessThan">
      <formula>$E$90</formula>
    </cfRule>
    <cfRule type="cellIs" dxfId="1160" priority="3" stopIfTrue="1" operator="greaterThan">
      <formula>$E$90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28" style="48" customWidth="1"/>
    <col min="8" max="11" width="8.7109375" style="4" customWidth="1"/>
    <col min="12" max="12" width="8.7109375" style="4" bestFit="1" customWidth="1"/>
    <col min="13" max="13" width="8.7109375" style="321" bestFit="1" customWidth="1"/>
    <col min="14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28" style="4" customWidth="1"/>
    <col min="264" max="266" width="0" style="4" hidden="1" customWidth="1"/>
    <col min="267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28" style="4" customWidth="1"/>
    <col min="520" max="522" width="0" style="4" hidden="1" customWidth="1"/>
    <col min="523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28" style="4" customWidth="1"/>
    <col min="776" max="778" width="0" style="4" hidden="1" customWidth="1"/>
    <col min="779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28" style="4" customWidth="1"/>
    <col min="1032" max="1034" width="0" style="4" hidden="1" customWidth="1"/>
    <col min="1035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28" style="4" customWidth="1"/>
    <col min="1288" max="1290" width="0" style="4" hidden="1" customWidth="1"/>
    <col min="1291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28" style="4" customWidth="1"/>
    <col min="1544" max="1546" width="0" style="4" hidden="1" customWidth="1"/>
    <col min="1547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28" style="4" customWidth="1"/>
    <col min="1800" max="1802" width="0" style="4" hidden="1" customWidth="1"/>
    <col min="1803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28" style="4" customWidth="1"/>
    <col min="2056" max="2058" width="0" style="4" hidden="1" customWidth="1"/>
    <col min="2059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28" style="4" customWidth="1"/>
    <col min="2312" max="2314" width="0" style="4" hidden="1" customWidth="1"/>
    <col min="2315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28" style="4" customWidth="1"/>
    <col min="2568" max="2570" width="0" style="4" hidden="1" customWidth="1"/>
    <col min="2571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28" style="4" customWidth="1"/>
    <col min="2824" max="2826" width="0" style="4" hidden="1" customWidth="1"/>
    <col min="2827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28" style="4" customWidth="1"/>
    <col min="3080" max="3082" width="0" style="4" hidden="1" customWidth="1"/>
    <col min="3083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28" style="4" customWidth="1"/>
    <col min="3336" max="3338" width="0" style="4" hidden="1" customWidth="1"/>
    <col min="3339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28" style="4" customWidth="1"/>
    <col min="3592" max="3594" width="0" style="4" hidden="1" customWidth="1"/>
    <col min="3595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28" style="4" customWidth="1"/>
    <col min="3848" max="3850" width="0" style="4" hidden="1" customWidth="1"/>
    <col min="3851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28" style="4" customWidth="1"/>
    <col min="4104" max="4106" width="0" style="4" hidden="1" customWidth="1"/>
    <col min="4107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28" style="4" customWidth="1"/>
    <col min="4360" max="4362" width="0" style="4" hidden="1" customWidth="1"/>
    <col min="4363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28" style="4" customWidth="1"/>
    <col min="4616" max="4618" width="0" style="4" hidden="1" customWidth="1"/>
    <col min="4619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28" style="4" customWidth="1"/>
    <col min="4872" max="4874" width="0" style="4" hidden="1" customWidth="1"/>
    <col min="4875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28" style="4" customWidth="1"/>
    <col min="5128" max="5130" width="0" style="4" hidden="1" customWidth="1"/>
    <col min="5131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28" style="4" customWidth="1"/>
    <col min="5384" max="5386" width="0" style="4" hidden="1" customWidth="1"/>
    <col min="5387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28" style="4" customWidth="1"/>
    <col min="5640" max="5642" width="0" style="4" hidden="1" customWidth="1"/>
    <col min="5643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28" style="4" customWidth="1"/>
    <col min="5896" max="5898" width="0" style="4" hidden="1" customWidth="1"/>
    <col min="5899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28" style="4" customWidth="1"/>
    <col min="6152" max="6154" width="0" style="4" hidden="1" customWidth="1"/>
    <col min="6155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28" style="4" customWidth="1"/>
    <col min="6408" max="6410" width="0" style="4" hidden="1" customWidth="1"/>
    <col min="6411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28" style="4" customWidth="1"/>
    <col min="6664" max="6666" width="0" style="4" hidden="1" customWidth="1"/>
    <col min="6667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28" style="4" customWidth="1"/>
    <col min="6920" max="6922" width="0" style="4" hidden="1" customWidth="1"/>
    <col min="6923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28" style="4" customWidth="1"/>
    <col min="7176" max="7178" width="0" style="4" hidden="1" customWidth="1"/>
    <col min="7179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28" style="4" customWidth="1"/>
    <col min="7432" max="7434" width="0" style="4" hidden="1" customWidth="1"/>
    <col min="7435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28" style="4" customWidth="1"/>
    <col min="7688" max="7690" width="0" style="4" hidden="1" customWidth="1"/>
    <col min="7691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28" style="4" customWidth="1"/>
    <col min="7944" max="7946" width="0" style="4" hidden="1" customWidth="1"/>
    <col min="7947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28" style="4" customWidth="1"/>
    <col min="8200" max="8202" width="0" style="4" hidden="1" customWidth="1"/>
    <col min="8203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28" style="4" customWidth="1"/>
    <col min="8456" max="8458" width="0" style="4" hidden="1" customWidth="1"/>
    <col min="8459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28" style="4" customWidth="1"/>
    <col min="8712" max="8714" width="0" style="4" hidden="1" customWidth="1"/>
    <col min="8715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28" style="4" customWidth="1"/>
    <col min="8968" max="8970" width="0" style="4" hidden="1" customWidth="1"/>
    <col min="8971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28" style="4" customWidth="1"/>
    <col min="9224" max="9226" width="0" style="4" hidden="1" customWidth="1"/>
    <col min="9227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28" style="4" customWidth="1"/>
    <col min="9480" max="9482" width="0" style="4" hidden="1" customWidth="1"/>
    <col min="9483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28" style="4" customWidth="1"/>
    <col min="9736" max="9738" width="0" style="4" hidden="1" customWidth="1"/>
    <col min="9739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28" style="4" customWidth="1"/>
    <col min="9992" max="9994" width="0" style="4" hidden="1" customWidth="1"/>
    <col min="9995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28" style="4" customWidth="1"/>
    <col min="10248" max="10250" width="0" style="4" hidden="1" customWidth="1"/>
    <col min="10251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28" style="4" customWidth="1"/>
    <col min="10504" max="10506" width="0" style="4" hidden="1" customWidth="1"/>
    <col min="10507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28" style="4" customWidth="1"/>
    <col min="10760" max="10762" width="0" style="4" hidden="1" customWidth="1"/>
    <col min="10763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28" style="4" customWidth="1"/>
    <col min="11016" max="11018" width="0" style="4" hidden="1" customWidth="1"/>
    <col min="11019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28" style="4" customWidth="1"/>
    <col min="11272" max="11274" width="0" style="4" hidden="1" customWidth="1"/>
    <col min="11275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28" style="4" customWidth="1"/>
    <col min="11528" max="11530" width="0" style="4" hidden="1" customWidth="1"/>
    <col min="11531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28" style="4" customWidth="1"/>
    <col min="11784" max="11786" width="0" style="4" hidden="1" customWidth="1"/>
    <col min="11787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28" style="4" customWidth="1"/>
    <col min="12040" max="12042" width="0" style="4" hidden="1" customWidth="1"/>
    <col min="12043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28" style="4" customWidth="1"/>
    <col min="12296" max="12298" width="0" style="4" hidden="1" customWidth="1"/>
    <col min="12299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28" style="4" customWidth="1"/>
    <col min="12552" max="12554" width="0" style="4" hidden="1" customWidth="1"/>
    <col min="12555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28" style="4" customWidth="1"/>
    <col min="12808" max="12810" width="0" style="4" hidden="1" customWidth="1"/>
    <col min="12811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28" style="4" customWidth="1"/>
    <col min="13064" max="13066" width="0" style="4" hidden="1" customWidth="1"/>
    <col min="13067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28" style="4" customWidth="1"/>
    <col min="13320" max="13322" width="0" style="4" hidden="1" customWidth="1"/>
    <col min="13323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28" style="4" customWidth="1"/>
    <col min="13576" max="13578" width="0" style="4" hidden="1" customWidth="1"/>
    <col min="13579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28" style="4" customWidth="1"/>
    <col min="13832" max="13834" width="0" style="4" hidden="1" customWidth="1"/>
    <col min="13835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28" style="4" customWidth="1"/>
    <col min="14088" max="14090" width="0" style="4" hidden="1" customWidth="1"/>
    <col min="14091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28" style="4" customWidth="1"/>
    <col min="14344" max="14346" width="0" style="4" hidden="1" customWidth="1"/>
    <col min="14347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28" style="4" customWidth="1"/>
    <col min="14600" max="14602" width="0" style="4" hidden="1" customWidth="1"/>
    <col min="14603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28" style="4" customWidth="1"/>
    <col min="14856" max="14858" width="0" style="4" hidden="1" customWidth="1"/>
    <col min="14859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28" style="4" customWidth="1"/>
    <col min="15112" max="15114" width="0" style="4" hidden="1" customWidth="1"/>
    <col min="15115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28" style="4" customWidth="1"/>
    <col min="15368" max="15370" width="0" style="4" hidden="1" customWidth="1"/>
    <col min="15371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28" style="4" customWidth="1"/>
    <col min="15624" max="15626" width="0" style="4" hidden="1" customWidth="1"/>
    <col min="15627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28" style="4" customWidth="1"/>
    <col min="15880" max="15882" width="0" style="4" hidden="1" customWidth="1"/>
    <col min="15883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28" style="4" customWidth="1"/>
    <col min="16136" max="16138" width="0" style="4" hidden="1" customWidth="1"/>
    <col min="16139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322" t="s">
        <v>441</v>
      </c>
      <c r="H2" s="323" t="s">
        <v>442</v>
      </c>
      <c r="I2" s="324"/>
      <c r="J2" s="325"/>
      <c r="K2" s="1232" t="s">
        <v>6</v>
      </c>
      <c r="L2" s="1233"/>
      <c r="M2" s="1234"/>
      <c r="N2" s="1235"/>
      <c r="O2" s="1235"/>
      <c r="P2" s="1235"/>
      <c r="Q2" s="1235"/>
      <c r="R2" s="1236"/>
    </row>
    <row r="3" spans="1:18" x14ac:dyDescent="0.2">
      <c r="A3" s="1"/>
      <c r="B3" s="10"/>
      <c r="C3" s="3"/>
      <c r="D3" s="3"/>
      <c r="E3" s="1"/>
      <c r="F3" s="1"/>
      <c r="G3" s="326" t="s">
        <v>7</v>
      </c>
      <c r="H3" s="327">
        <v>40908</v>
      </c>
      <c r="I3" s="327">
        <v>41274</v>
      </c>
      <c r="J3" s="327">
        <v>41639</v>
      </c>
      <c r="K3" s="327">
        <v>42004</v>
      </c>
      <c r="L3" s="327">
        <v>42369</v>
      </c>
      <c r="M3" s="328">
        <v>42735</v>
      </c>
      <c r="N3" s="327">
        <v>43100</v>
      </c>
      <c r="O3" s="327">
        <v>43465</v>
      </c>
      <c r="P3" s="327">
        <v>43830</v>
      </c>
      <c r="Q3" s="327">
        <v>44196</v>
      </c>
      <c r="R3" s="327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329" t="s">
        <v>9</v>
      </c>
      <c r="H4" s="330">
        <f t="shared" ref="H4:R4" si="0">H5+H10</f>
        <v>0</v>
      </c>
      <c r="I4" s="330">
        <f t="shared" si="0"/>
        <v>0</v>
      </c>
      <c r="J4" s="330">
        <f t="shared" si="0"/>
        <v>14.797000000000001</v>
      </c>
      <c r="K4" s="330">
        <f t="shared" si="0"/>
        <v>708.21699999999998</v>
      </c>
      <c r="L4" s="330">
        <f t="shared" si="0"/>
        <v>788.30100000000004</v>
      </c>
      <c r="M4" s="331">
        <f t="shared" si="0"/>
        <v>830</v>
      </c>
      <c r="N4" s="330">
        <f t="shared" si="0"/>
        <v>925</v>
      </c>
      <c r="O4" s="330">
        <f t="shared" si="0"/>
        <v>991</v>
      </c>
      <c r="P4" s="330">
        <f t="shared" si="0"/>
        <v>1042</v>
      </c>
      <c r="Q4" s="330">
        <f t="shared" si="0"/>
        <v>1122</v>
      </c>
      <c r="R4" s="330">
        <f t="shared" si="0"/>
        <v>1207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330">
        <f t="shared" ref="H5:Q5" si="1">SUM(H6:H9)</f>
        <v>0</v>
      </c>
      <c r="I5" s="330">
        <f t="shared" si="1"/>
        <v>0</v>
      </c>
      <c r="J5" s="330">
        <f t="shared" si="1"/>
        <v>0</v>
      </c>
      <c r="K5" s="330">
        <f t="shared" si="1"/>
        <v>265.97699999999998</v>
      </c>
      <c r="L5" s="330">
        <f t="shared" si="1"/>
        <v>298.77800000000002</v>
      </c>
      <c r="M5" s="331">
        <f t="shared" si="1"/>
        <v>330</v>
      </c>
      <c r="N5" s="330">
        <f t="shared" si="1"/>
        <v>252</v>
      </c>
      <c r="O5" s="330">
        <f t="shared" si="1"/>
        <v>213</v>
      </c>
      <c r="P5" s="330">
        <f t="shared" si="1"/>
        <v>249</v>
      </c>
      <c r="Q5" s="330">
        <f t="shared" si="1"/>
        <v>315</v>
      </c>
      <c r="R5" s="330">
        <f>SUM(R6:R9)</f>
        <v>386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332">
        <v>0</v>
      </c>
      <c r="I6" s="332">
        <v>0</v>
      </c>
      <c r="J6" s="332">
        <v>0</v>
      </c>
      <c r="K6" s="332">
        <v>250.62299999999999</v>
      </c>
      <c r="L6" s="332">
        <v>245.38399999999999</v>
      </c>
      <c r="M6" s="333">
        <v>260</v>
      </c>
      <c r="N6" s="333">
        <v>240</v>
      </c>
      <c r="O6" s="333">
        <v>201</v>
      </c>
      <c r="P6" s="333">
        <v>227</v>
      </c>
      <c r="Q6" s="333">
        <v>293</v>
      </c>
      <c r="R6" s="333">
        <v>364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332">
        <v>0</v>
      </c>
      <c r="I7" s="332">
        <v>0</v>
      </c>
      <c r="J7" s="332">
        <v>0</v>
      </c>
      <c r="K7" s="332">
        <v>11.813000000000001</v>
      </c>
      <c r="L7" s="332">
        <v>49.948</v>
      </c>
      <c r="M7" s="333">
        <v>70</v>
      </c>
      <c r="N7" s="332">
        <v>12</v>
      </c>
      <c r="O7" s="332">
        <v>12</v>
      </c>
      <c r="P7" s="332">
        <v>22</v>
      </c>
      <c r="Q7" s="332">
        <v>22</v>
      </c>
      <c r="R7" s="332">
        <v>22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332">
        <v>0</v>
      </c>
      <c r="I8" s="332">
        <v>0</v>
      </c>
      <c r="J8" s="332">
        <v>0</v>
      </c>
      <c r="K8" s="332">
        <v>0</v>
      </c>
      <c r="L8" s="332">
        <v>0</v>
      </c>
      <c r="M8" s="333">
        <v>0</v>
      </c>
      <c r="N8" s="332">
        <v>0</v>
      </c>
      <c r="O8" s="332">
        <v>0</v>
      </c>
      <c r="P8" s="332">
        <v>0</v>
      </c>
      <c r="Q8" s="332">
        <v>0</v>
      </c>
      <c r="R8" s="332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332">
        <v>0</v>
      </c>
      <c r="I9" s="332">
        <v>0</v>
      </c>
      <c r="J9" s="332">
        <v>0</v>
      </c>
      <c r="K9" s="332">
        <v>3.5409999999999999</v>
      </c>
      <c r="L9" s="332">
        <v>3.4460000000000002</v>
      </c>
      <c r="M9" s="333">
        <v>0</v>
      </c>
      <c r="N9" s="332">
        <v>0</v>
      </c>
      <c r="O9" s="332">
        <v>0</v>
      </c>
      <c r="P9" s="332">
        <v>0</v>
      </c>
      <c r="Q9" s="332">
        <v>0</v>
      </c>
      <c r="R9" s="332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330">
        <f>SUM(H11:H16)</f>
        <v>0</v>
      </c>
      <c r="I10" s="330">
        <f t="shared" ref="I10:R10" si="2">SUM(I11:I16)</f>
        <v>0</v>
      </c>
      <c r="J10" s="330">
        <f t="shared" si="2"/>
        <v>14.797000000000001</v>
      </c>
      <c r="K10" s="330">
        <f t="shared" si="2"/>
        <v>442.24</v>
      </c>
      <c r="L10" s="330">
        <f t="shared" si="2"/>
        <v>489.52300000000002</v>
      </c>
      <c r="M10" s="331">
        <f t="shared" si="2"/>
        <v>500</v>
      </c>
      <c r="N10" s="330">
        <f t="shared" si="2"/>
        <v>673</v>
      </c>
      <c r="O10" s="330">
        <f t="shared" si="2"/>
        <v>778</v>
      </c>
      <c r="P10" s="330">
        <f t="shared" si="2"/>
        <v>793</v>
      </c>
      <c r="Q10" s="330">
        <f t="shared" si="2"/>
        <v>807</v>
      </c>
      <c r="R10" s="330">
        <f t="shared" si="2"/>
        <v>821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3">
        <v>0</v>
      </c>
      <c r="N11" s="332">
        <v>0</v>
      </c>
      <c r="O11" s="332">
        <v>0</v>
      </c>
      <c r="P11" s="332">
        <v>0</v>
      </c>
      <c r="Q11" s="332">
        <v>0</v>
      </c>
      <c r="R11" s="332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332">
        <v>0</v>
      </c>
      <c r="I12" s="332">
        <v>0</v>
      </c>
      <c r="J12" s="332">
        <v>0</v>
      </c>
      <c r="K12" s="332">
        <v>0</v>
      </c>
      <c r="L12" s="332">
        <v>0</v>
      </c>
      <c r="M12" s="333">
        <v>0</v>
      </c>
      <c r="N12" s="332">
        <v>0</v>
      </c>
      <c r="O12" s="332">
        <v>0</v>
      </c>
      <c r="P12" s="332">
        <v>0</v>
      </c>
      <c r="Q12" s="332">
        <v>0</v>
      </c>
      <c r="R12" s="332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332">
        <v>0</v>
      </c>
      <c r="I13" s="332">
        <v>0</v>
      </c>
      <c r="J13" s="332">
        <v>0</v>
      </c>
      <c r="K13" s="332">
        <v>0</v>
      </c>
      <c r="L13" s="332">
        <v>0</v>
      </c>
      <c r="M13" s="333">
        <v>0</v>
      </c>
      <c r="N13" s="332">
        <v>0</v>
      </c>
      <c r="O13" s="332">
        <v>0</v>
      </c>
      <c r="P13" s="332">
        <v>0</v>
      </c>
      <c r="Q13" s="332">
        <v>0</v>
      </c>
      <c r="R13" s="332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332">
        <v>0</v>
      </c>
      <c r="I14" s="332">
        <v>0</v>
      </c>
      <c r="J14" s="332">
        <v>0</v>
      </c>
      <c r="K14" s="332">
        <v>0</v>
      </c>
      <c r="L14" s="332">
        <v>0</v>
      </c>
      <c r="M14" s="333">
        <v>0</v>
      </c>
      <c r="N14" s="332">
        <v>0</v>
      </c>
      <c r="O14" s="332">
        <v>0</v>
      </c>
      <c r="P14" s="332">
        <v>0</v>
      </c>
      <c r="Q14" s="332">
        <v>0</v>
      </c>
      <c r="R14" s="332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332">
        <v>0</v>
      </c>
      <c r="I15" s="332">
        <v>0</v>
      </c>
      <c r="J15" s="332">
        <v>14.797000000000001</v>
      </c>
      <c r="K15" s="332">
        <v>442.24</v>
      </c>
      <c r="L15" s="332">
        <v>489.52300000000002</v>
      </c>
      <c r="M15" s="333">
        <v>500</v>
      </c>
      <c r="N15" s="332">
        <v>673</v>
      </c>
      <c r="O15" s="332">
        <v>778</v>
      </c>
      <c r="P15" s="332">
        <v>793</v>
      </c>
      <c r="Q15" s="332">
        <v>807</v>
      </c>
      <c r="R15" s="332">
        <v>821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3">
        <v>0</v>
      </c>
      <c r="N16" s="332">
        <v>0</v>
      </c>
      <c r="O16" s="332">
        <v>0</v>
      </c>
      <c r="P16" s="332">
        <v>0</v>
      </c>
      <c r="Q16" s="332">
        <v>0</v>
      </c>
      <c r="R16" s="332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334">
        <v>0</v>
      </c>
      <c r="I17" s="334">
        <v>0</v>
      </c>
      <c r="J17" s="334">
        <v>0</v>
      </c>
      <c r="K17" s="334">
        <v>0</v>
      </c>
      <c r="L17" s="334">
        <v>0</v>
      </c>
      <c r="M17" s="335">
        <v>0</v>
      </c>
      <c r="N17" s="334">
        <v>0</v>
      </c>
      <c r="O17" s="334">
        <v>0</v>
      </c>
      <c r="P17" s="334">
        <v>0</v>
      </c>
      <c r="Q17" s="334">
        <v>0</v>
      </c>
      <c r="R17" s="334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330">
        <f>H19+H27</f>
        <v>0</v>
      </c>
      <c r="I18" s="330">
        <f t="shared" ref="I18:R18" si="3">I19+I27</f>
        <v>0</v>
      </c>
      <c r="J18" s="330">
        <f t="shared" si="3"/>
        <v>14.797000000000001</v>
      </c>
      <c r="K18" s="330">
        <f t="shared" si="3"/>
        <v>708.21799999999996</v>
      </c>
      <c r="L18" s="330">
        <f t="shared" si="3"/>
        <v>788.30099999999993</v>
      </c>
      <c r="M18" s="331">
        <f t="shared" si="3"/>
        <v>830</v>
      </c>
      <c r="N18" s="330">
        <f t="shared" si="3"/>
        <v>925</v>
      </c>
      <c r="O18" s="330">
        <f t="shared" si="3"/>
        <v>991</v>
      </c>
      <c r="P18" s="330">
        <f t="shared" si="3"/>
        <v>1042</v>
      </c>
      <c r="Q18" s="330">
        <f t="shared" si="3"/>
        <v>1122</v>
      </c>
      <c r="R18" s="330">
        <f t="shared" si="3"/>
        <v>1207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330">
        <f>SUM(H21:H26)</f>
        <v>0</v>
      </c>
      <c r="I19" s="330">
        <f t="shared" ref="I19:R19" si="4">SUM(I21:I26)</f>
        <v>0</v>
      </c>
      <c r="J19" s="330">
        <f t="shared" si="4"/>
        <v>0</v>
      </c>
      <c r="K19" s="330">
        <f t="shared" si="4"/>
        <v>182.649</v>
      </c>
      <c r="L19" s="330">
        <f t="shared" si="4"/>
        <v>24.786000000000001</v>
      </c>
      <c r="M19" s="331">
        <f t="shared" si="4"/>
        <v>30</v>
      </c>
      <c r="N19" s="330">
        <f t="shared" si="4"/>
        <v>39</v>
      </c>
      <c r="O19" s="330">
        <f t="shared" si="4"/>
        <v>42</v>
      </c>
      <c r="P19" s="330">
        <f t="shared" si="4"/>
        <v>20</v>
      </c>
      <c r="Q19" s="330">
        <f t="shared" si="4"/>
        <v>20</v>
      </c>
      <c r="R19" s="330">
        <f t="shared" si="4"/>
        <v>20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336">
        <v>0</v>
      </c>
      <c r="I20" s="336">
        <v>0</v>
      </c>
      <c r="J20" s="336">
        <v>0</v>
      </c>
      <c r="K20" s="336">
        <v>182.649</v>
      </c>
      <c r="L20" s="336">
        <v>24.786000000000001</v>
      </c>
      <c r="M20" s="335">
        <v>24</v>
      </c>
      <c r="N20" s="336">
        <v>39</v>
      </c>
      <c r="O20" s="336">
        <v>42</v>
      </c>
      <c r="P20" s="336">
        <v>20</v>
      </c>
      <c r="Q20" s="336">
        <v>20</v>
      </c>
      <c r="R20" s="336">
        <v>20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332">
        <v>0</v>
      </c>
      <c r="I21" s="332">
        <v>0</v>
      </c>
      <c r="J21" s="332">
        <v>0</v>
      </c>
      <c r="K21" s="332">
        <f>9.541+1.645+171.463</f>
        <v>182.649</v>
      </c>
      <c r="L21" s="332">
        <f>7.907+0.895+15.984</f>
        <v>24.786000000000001</v>
      </c>
      <c r="M21" s="333">
        <v>30</v>
      </c>
      <c r="N21" s="332">
        <v>39</v>
      </c>
      <c r="O21" s="332">
        <v>42</v>
      </c>
      <c r="P21" s="332">
        <v>20</v>
      </c>
      <c r="Q21" s="332">
        <v>20</v>
      </c>
      <c r="R21" s="332">
        <v>20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3">
        <v>0</v>
      </c>
      <c r="N22" s="332">
        <v>0</v>
      </c>
      <c r="O22" s="332">
        <v>0</v>
      </c>
      <c r="P22" s="332">
        <v>0</v>
      </c>
      <c r="Q22" s="332">
        <v>0</v>
      </c>
      <c r="R22" s="332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3">
        <v>0</v>
      </c>
      <c r="N23" s="332">
        <v>0</v>
      </c>
      <c r="O23" s="332">
        <v>0</v>
      </c>
      <c r="P23" s="332">
        <v>0</v>
      </c>
      <c r="Q23" s="332">
        <v>0</v>
      </c>
      <c r="R23" s="332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3">
        <v>0</v>
      </c>
      <c r="N24" s="332">
        <v>0</v>
      </c>
      <c r="O24" s="332">
        <v>0</v>
      </c>
      <c r="P24" s="332">
        <v>0</v>
      </c>
      <c r="Q24" s="332">
        <v>0</v>
      </c>
      <c r="R24" s="332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3">
        <v>0</v>
      </c>
      <c r="N25" s="332">
        <v>0</v>
      </c>
      <c r="O25" s="332">
        <v>0</v>
      </c>
      <c r="P25" s="332">
        <v>0</v>
      </c>
      <c r="Q25" s="332">
        <v>0</v>
      </c>
      <c r="R25" s="332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3">
        <v>0</v>
      </c>
      <c r="N26" s="332">
        <v>0</v>
      </c>
      <c r="O26" s="332">
        <v>0</v>
      </c>
      <c r="P26" s="332">
        <v>0</v>
      </c>
      <c r="Q26" s="332">
        <v>0</v>
      </c>
      <c r="R26" s="332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330">
        <f>SUM(H28:H30)</f>
        <v>0</v>
      </c>
      <c r="I27" s="330">
        <f t="shared" ref="I27:R27" si="5">SUM(I28:I30)</f>
        <v>0</v>
      </c>
      <c r="J27" s="330">
        <f t="shared" si="5"/>
        <v>14.797000000000001</v>
      </c>
      <c r="K27" s="330">
        <f t="shared" si="5"/>
        <v>525.56899999999996</v>
      </c>
      <c r="L27" s="330">
        <f t="shared" si="5"/>
        <v>763.51499999999999</v>
      </c>
      <c r="M27" s="331">
        <f t="shared" si="5"/>
        <v>800</v>
      </c>
      <c r="N27" s="330">
        <f t="shared" si="5"/>
        <v>886</v>
      </c>
      <c r="O27" s="330">
        <f t="shared" si="5"/>
        <v>949</v>
      </c>
      <c r="P27" s="330">
        <f t="shared" si="5"/>
        <v>1022</v>
      </c>
      <c r="Q27" s="330">
        <f t="shared" si="5"/>
        <v>1102</v>
      </c>
      <c r="R27" s="330">
        <f t="shared" si="5"/>
        <v>1187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332">
        <v>0</v>
      </c>
      <c r="I28" s="332">
        <v>0</v>
      </c>
      <c r="J28" s="332">
        <v>14.797000000000001</v>
      </c>
      <c r="K28" s="332">
        <v>447.00700000000001</v>
      </c>
      <c r="L28" s="332">
        <v>447.00700000000001</v>
      </c>
      <c r="M28" s="333">
        <v>447</v>
      </c>
      <c r="N28" s="332">
        <v>447</v>
      </c>
      <c r="O28" s="332">
        <v>447</v>
      </c>
      <c r="P28" s="332">
        <v>447</v>
      </c>
      <c r="Q28" s="332">
        <v>447</v>
      </c>
      <c r="R28" s="332">
        <v>447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332">
        <v>0</v>
      </c>
      <c r="I29" s="332">
        <v>0</v>
      </c>
      <c r="J29" s="332">
        <v>0</v>
      </c>
      <c r="K29" s="332">
        <v>0</v>
      </c>
      <c r="L29" s="332">
        <f>K29+K30</f>
        <v>78.561999999999998</v>
      </c>
      <c r="M29" s="333">
        <v>317</v>
      </c>
      <c r="N29" s="333">
        <v>353</v>
      </c>
      <c r="O29" s="333">
        <v>424</v>
      </c>
      <c r="P29" s="333">
        <v>495</v>
      </c>
      <c r="Q29" s="333">
        <v>570</v>
      </c>
      <c r="R29" s="333">
        <v>650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332">
        <v>0</v>
      </c>
      <c r="I30" s="332">
        <v>0</v>
      </c>
      <c r="J30" s="332">
        <v>0</v>
      </c>
      <c r="K30" s="332">
        <v>78.561999999999998</v>
      </c>
      <c r="L30" s="332">
        <v>237.946</v>
      </c>
      <c r="M30" s="333">
        <v>36</v>
      </c>
      <c r="N30" s="333">
        <f>N51</f>
        <v>86</v>
      </c>
      <c r="O30" s="333">
        <f>O51</f>
        <v>78</v>
      </c>
      <c r="P30" s="333">
        <f>P51</f>
        <v>80</v>
      </c>
      <c r="Q30" s="333">
        <f>Q51</f>
        <v>85</v>
      </c>
      <c r="R30" s="333">
        <f>R51</f>
        <v>90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337">
        <f t="shared" ref="H31:R31" si="6">H4-H18</f>
        <v>0</v>
      </c>
      <c r="I31" s="337">
        <f t="shared" si="6"/>
        <v>0</v>
      </c>
      <c r="J31" s="337">
        <f t="shared" si="6"/>
        <v>0</v>
      </c>
      <c r="K31" s="337">
        <f t="shared" si="6"/>
        <v>-9.9999999997635314E-4</v>
      </c>
      <c r="L31" s="337">
        <f t="shared" si="6"/>
        <v>0</v>
      </c>
      <c r="M31" s="337">
        <f t="shared" si="6"/>
        <v>0</v>
      </c>
      <c r="N31" s="337">
        <f t="shared" si="6"/>
        <v>0</v>
      </c>
      <c r="O31" s="337">
        <f t="shared" si="6"/>
        <v>0</v>
      </c>
      <c r="P31" s="337">
        <f t="shared" si="6"/>
        <v>0</v>
      </c>
      <c r="Q31" s="337">
        <f t="shared" si="6"/>
        <v>0</v>
      </c>
      <c r="R31" s="337">
        <f t="shared" si="6"/>
        <v>0</v>
      </c>
      <c r="S31" s="4"/>
    </row>
    <row r="32" spans="1:19" x14ac:dyDescent="0.2">
      <c r="G32" s="326" t="s">
        <v>78</v>
      </c>
      <c r="H32" s="338">
        <v>2011</v>
      </c>
      <c r="I32" s="338">
        <f t="shared" ref="I32:R32" si="7">H32+1</f>
        <v>2012</v>
      </c>
      <c r="J32" s="338">
        <f t="shared" si="7"/>
        <v>2013</v>
      </c>
      <c r="K32" s="338">
        <f t="shared" si="7"/>
        <v>2014</v>
      </c>
      <c r="L32" s="338">
        <f t="shared" si="7"/>
        <v>2015</v>
      </c>
      <c r="M32" s="339">
        <f t="shared" si="7"/>
        <v>2016</v>
      </c>
      <c r="N32" s="338">
        <f t="shared" si="7"/>
        <v>2017</v>
      </c>
      <c r="O32" s="338">
        <f t="shared" si="7"/>
        <v>2018</v>
      </c>
      <c r="P32" s="338">
        <f t="shared" si="7"/>
        <v>2019</v>
      </c>
      <c r="Q32" s="338">
        <f t="shared" si="7"/>
        <v>2020</v>
      </c>
      <c r="R32" s="338">
        <f t="shared" si="7"/>
        <v>2021</v>
      </c>
    </row>
    <row r="33" spans="1:18" x14ac:dyDescent="0.2">
      <c r="B33" s="2" t="s">
        <v>79</v>
      </c>
      <c r="C33" s="19">
        <v>3</v>
      </c>
      <c r="G33" s="329" t="s">
        <v>80</v>
      </c>
      <c r="H33" s="330">
        <f>SUM(H34:H37)</f>
        <v>0</v>
      </c>
      <c r="I33" s="330">
        <f t="shared" ref="I33:R33" si="8">SUM(I34:I37)</f>
        <v>0</v>
      </c>
      <c r="J33" s="330">
        <f t="shared" si="8"/>
        <v>0</v>
      </c>
      <c r="K33" s="330">
        <f t="shared" si="8"/>
        <v>644.44200000000001</v>
      </c>
      <c r="L33" s="330">
        <f t="shared" si="8"/>
        <v>1098.5060000000001</v>
      </c>
      <c r="M33" s="331">
        <f t="shared" si="8"/>
        <v>961</v>
      </c>
      <c r="N33" s="330">
        <f t="shared" si="8"/>
        <v>918</v>
      </c>
      <c r="O33" s="330">
        <f t="shared" si="8"/>
        <v>909</v>
      </c>
      <c r="P33" s="330">
        <f t="shared" si="8"/>
        <v>912</v>
      </c>
      <c r="Q33" s="330">
        <f t="shared" si="8"/>
        <v>917</v>
      </c>
      <c r="R33" s="330">
        <f t="shared" si="8"/>
        <v>922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3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332">
        <v>0</v>
      </c>
      <c r="I35" s="332">
        <v>0</v>
      </c>
      <c r="J35" s="332">
        <v>0</v>
      </c>
      <c r="K35" s="332">
        <v>75.903999999999996</v>
      </c>
      <c r="L35" s="332">
        <v>151.74100000000001</v>
      </c>
      <c r="M35" s="333">
        <v>162</v>
      </c>
      <c r="N35" s="333">
        <v>165</v>
      </c>
      <c r="O35" s="333">
        <v>167</v>
      </c>
      <c r="P35" s="333">
        <v>170</v>
      </c>
      <c r="Q35" s="333">
        <v>175</v>
      </c>
      <c r="R35" s="333">
        <v>180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332">
        <v>0</v>
      </c>
      <c r="I36" s="332">
        <v>0</v>
      </c>
      <c r="J36" s="332">
        <v>0</v>
      </c>
      <c r="K36" s="332">
        <v>568.53800000000001</v>
      </c>
      <c r="L36" s="332">
        <v>946.76499999999999</v>
      </c>
      <c r="M36" s="333">
        <v>799</v>
      </c>
      <c r="N36" s="332">
        <v>753</v>
      </c>
      <c r="O36" s="332">
        <v>740</v>
      </c>
      <c r="P36" s="332">
        <v>740</v>
      </c>
      <c r="Q36" s="332">
        <v>740</v>
      </c>
      <c r="R36" s="332">
        <v>740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3">
        <v>0</v>
      </c>
      <c r="N37" s="332">
        <v>0</v>
      </c>
      <c r="O37" s="332">
        <v>2</v>
      </c>
      <c r="P37" s="332">
        <v>2</v>
      </c>
      <c r="Q37" s="332">
        <v>2</v>
      </c>
      <c r="R37" s="332">
        <v>2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330">
        <f>H39+H40</f>
        <v>-0.128</v>
      </c>
      <c r="I38" s="330">
        <f t="shared" ref="I38:R38" si="9">I39+I40</f>
        <v>-0.128</v>
      </c>
      <c r="J38" s="330">
        <f t="shared" si="9"/>
        <v>-0.128</v>
      </c>
      <c r="K38" s="330">
        <f t="shared" si="9"/>
        <v>-2</v>
      </c>
      <c r="L38" s="330">
        <f t="shared" si="9"/>
        <v>-2</v>
      </c>
      <c r="M38" s="331">
        <f t="shared" si="9"/>
        <v>-1</v>
      </c>
      <c r="N38" s="330">
        <f t="shared" si="9"/>
        <v>0</v>
      </c>
      <c r="O38" s="330">
        <f t="shared" si="9"/>
        <v>0</v>
      </c>
      <c r="P38" s="330">
        <f t="shared" si="9"/>
        <v>0</v>
      </c>
      <c r="Q38" s="330">
        <f t="shared" si="9"/>
        <v>0</v>
      </c>
      <c r="R38" s="330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332">
        <v>0</v>
      </c>
      <c r="I39" s="332">
        <v>0</v>
      </c>
      <c r="J39" s="332">
        <v>0</v>
      </c>
      <c r="K39" s="332">
        <v>-2</v>
      </c>
      <c r="L39" s="332">
        <v>-2</v>
      </c>
      <c r="M39" s="333">
        <v>-1</v>
      </c>
      <c r="N39" s="332">
        <v>0</v>
      </c>
      <c r="O39" s="332">
        <v>0</v>
      </c>
      <c r="P39" s="332">
        <v>0</v>
      </c>
      <c r="Q39" s="332">
        <v>0</v>
      </c>
      <c r="R39" s="332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332">
        <v>-0.128</v>
      </c>
      <c r="I40" s="332">
        <v>-0.128</v>
      </c>
      <c r="J40" s="332">
        <v>-0.128</v>
      </c>
      <c r="K40" s="332">
        <v>0</v>
      </c>
      <c r="L40" s="332">
        <v>0</v>
      </c>
      <c r="M40" s="333">
        <v>0</v>
      </c>
      <c r="N40" s="332">
        <v>0</v>
      </c>
      <c r="O40" s="332">
        <v>0</v>
      </c>
      <c r="P40" s="332">
        <v>0</v>
      </c>
      <c r="Q40" s="332">
        <v>0</v>
      </c>
      <c r="R40" s="332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330">
        <f>SUM(H42:H45)</f>
        <v>0</v>
      </c>
      <c r="I41" s="330">
        <f t="shared" ref="I41:R41" si="10">SUM(I42:I45)</f>
        <v>0</v>
      </c>
      <c r="J41" s="330">
        <f t="shared" si="10"/>
        <v>0</v>
      </c>
      <c r="K41" s="330">
        <f t="shared" si="10"/>
        <v>-564.28</v>
      </c>
      <c r="L41" s="330">
        <f t="shared" si="10"/>
        <v>-859.48400000000004</v>
      </c>
      <c r="M41" s="331">
        <f t="shared" si="10"/>
        <v>-924</v>
      </c>
      <c r="N41" s="330">
        <f t="shared" si="10"/>
        <v>-832</v>
      </c>
      <c r="O41" s="330">
        <f t="shared" si="10"/>
        <v>-831</v>
      </c>
      <c r="P41" s="330">
        <f t="shared" si="10"/>
        <v>-832</v>
      </c>
      <c r="Q41" s="330">
        <f t="shared" si="10"/>
        <v>-832</v>
      </c>
      <c r="R41" s="330">
        <f t="shared" si="10"/>
        <v>-832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332">
        <v>0</v>
      </c>
      <c r="I42" s="332">
        <v>0</v>
      </c>
      <c r="J42" s="332">
        <v>0</v>
      </c>
      <c r="K42" s="332">
        <v>-223.98599999999999</v>
      </c>
      <c r="L42" s="332">
        <v>-298.53199999999998</v>
      </c>
      <c r="M42" s="333">
        <v>-339</v>
      </c>
      <c r="N42" s="332">
        <v>-346</v>
      </c>
      <c r="O42" s="332">
        <v>-346</v>
      </c>
      <c r="P42" s="332">
        <v>-346</v>
      </c>
      <c r="Q42" s="332">
        <v>-346</v>
      </c>
      <c r="R42" s="332">
        <v>-346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332">
        <v>0</v>
      </c>
      <c r="I43" s="332">
        <v>0</v>
      </c>
      <c r="J43" s="332">
        <v>0</v>
      </c>
      <c r="K43" s="332">
        <v>-298.71499999999997</v>
      </c>
      <c r="L43" s="332">
        <v>-519.53300000000002</v>
      </c>
      <c r="M43" s="333">
        <v>-547</v>
      </c>
      <c r="N43" s="332">
        <f>-449</f>
        <v>-449</v>
      </c>
      <c r="O43" s="332">
        <f>-448</f>
        <v>-448</v>
      </c>
      <c r="P43" s="332">
        <v>-448</v>
      </c>
      <c r="Q43" s="332">
        <v>-448</v>
      </c>
      <c r="R43" s="332">
        <v>-448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332">
        <v>0</v>
      </c>
      <c r="I44" s="332">
        <v>0</v>
      </c>
      <c r="J44" s="332">
        <v>0</v>
      </c>
      <c r="K44" s="332">
        <v>-7.1639999999999997</v>
      </c>
      <c r="L44" s="332">
        <v>-4.1630000000000003</v>
      </c>
      <c r="M44" s="333">
        <v>-4</v>
      </c>
      <c r="N44" s="332">
        <v>-2</v>
      </c>
      <c r="O44" s="332">
        <v>-2</v>
      </c>
      <c r="P44" s="332">
        <v>-2</v>
      </c>
      <c r="Q44" s="332">
        <v>-2</v>
      </c>
      <c r="R44" s="332">
        <v>-2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332">
        <v>0</v>
      </c>
      <c r="I45" s="332">
        <v>0</v>
      </c>
      <c r="J45" s="332">
        <v>0</v>
      </c>
      <c r="K45" s="332">
        <v>-34.414999999999999</v>
      </c>
      <c r="L45" s="332">
        <v>-37.256</v>
      </c>
      <c r="M45" s="333">
        <v>-34</v>
      </c>
      <c r="N45" s="332">
        <v>-35</v>
      </c>
      <c r="O45" s="332">
        <v>-35</v>
      </c>
      <c r="P45" s="332">
        <v>-36</v>
      </c>
      <c r="Q45" s="332">
        <v>-36</v>
      </c>
      <c r="R45" s="332">
        <v>-36</v>
      </c>
    </row>
    <row r="46" spans="1:18" x14ac:dyDescent="0.2">
      <c r="B46" s="2" t="s">
        <v>107</v>
      </c>
      <c r="G46" s="18" t="s">
        <v>108</v>
      </c>
      <c r="H46" s="330">
        <f>H33+H38+H41</f>
        <v>-0.128</v>
      </c>
      <c r="I46" s="330">
        <f t="shared" ref="I46:R46" si="11">I33+I38+I41</f>
        <v>-0.128</v>
      </c>
      <c r="J46" s="330">
        <f t="shared" si="11"/>
        <v>-0.128</v>
      </c>
      <c r="K46" s="330">
        <f t="shared" si="11"/>
        <v>78.162000000000035</v>
      </c>
      <c r="L46" s="330">
        <f t="shared" si="11"/>
        <v>237.02200000000005</v>
      </c>
      <c r="M46" s="331">
        <f t="shared" si="11"/>
        <v>36</v>
      </c>
      <c r="N46" s="330">
        <f t="shared" si="11"/>
        <v>86</v>
      </c>
      <c r="O46" s="330">
        <f t="shared" si="11"/>
        <v>78</v>
      </c>
      <c r="P46" s="330">
        <f t="shared" si="11"/>
        <v>80</v>
      </c>
      <c r="Q46" s="330">
        <f t="shared" si="11"/>
        <v>85</v>
      </c>
      <c r="R46" s="330">
        <f t="shared" si="11"/>
        <v>90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332">
        <v>0</v>
      </c>
      <c r="I47" s="332">
        <v>0</v>
      </c>
      <c r="J47" s="332">
        <v>-1E-3</v>
      </c>
      <c r="K47" s="332">
        <v>0</v>
      </c>
      <c r="L47" s="332">
        <v>1</v>
      </c>
      <c r="M47" s="333">
        <v>0</v>
      </c>
      <c r="N47" s="332">
        <v>0</v>
      </c>
      <c r="O47" s="332">
        <v>0</v>
      </c>
      <c r="P47" s="332">
        <v>0</v>
      </c>
      <c r="Q47" s="332">
        <v>0</v>
      </c>
      <c r="R47" s="332">
        <v>0</v>
      </c>
    </row>
    <row r="48" spans="1:18" x14ac:dyDescent="0.2">
      <c r="B48" s="2" t="s">
        <v>111</v>
      </c>
      <c r="G48" s="18" t="s">
        <v>112</v>
      </c>
      <c r="H48" s="330">
        <f>H46+H47</f>
        <v>-0.128</v>
      </c>
      <c r="I48" s="330">
        <f t="shared" ref="I48:R48" si="12">I46+I47</f>
        <v>-0.128</v>
      </c>
      <c r="J48" s="330">
        <f t="shared" si="12"/>
        <v>-0.129</v>
      </c>
      <c r="K48" s="330">
        <f t="shared" si="12"/>
        <v>78.162000000000035</v>
      </c>
      <c r="L48" s="330">
        <f t="shared" si="12"/>
        <v>238.02200000000005</v>
      </c>
      <c r="M48" s="331">
        <f t="shared" si="12"/>
        <v>36</v>
      </c>
      <c r="N48" s="330">
        <f t="shared" si="12"/>
        <v>86</v>
      </c>
      <c r="O48" s="330">
        <f t="shared" si="12"/>
        <v>78</v>
      </c>
      <c r="P48" s="330">
        <f t="shared" si="12"/>
        <v>80</v>
      </c>
      <c r="Q48" s="330">
        <f t="shared" si="12"/>
        <v>85</v>
      </c>
      <c r="R48" s="330">
        <f t="shared" si="12"/>
        <v>90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3">
        <v>0</v>
      </c>
      <c r="N49" s="332">
        <v>0</v>
      </c>
      <c r="O49" s="332">
        <v>0</v>
      </c>
      <c r="P49" s="332">
        <v>0</v>
      </c>
      <c r="Q49" s="332">
        <v>0</v>
      </c>
      <c r="R49" s="332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3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</row>
    <row r="51" spans="1:18" x14ac:dyDescent="0.2">
      <c r="B51" s="2" t="s">
        <v>117</v>
      </c>
      <c r="G51" s="18" t="s">
        <v>118</v>
      </c>
      <c r="H51" s="330">
        <f>H48+H49+H50</f>
        <v>-0.128</v>
      </c>
      <c r="I51" s="330">
        <f t="shared" ref="I51:R51" si="13">I48+I49+I50</f>
        <v>-0.128</v>
      </c>
      <c r="J51" s="330">
        <f t="shared" si="13"/>
        <v>-0.129</v>
      </c>
      <c r="K51" s="330">
        <f t="shared" si="13"/>
        <v>78.162000000000035</v>
      </c>
      <c r="L51" s="330">
        <f t="shared" si="13"/>
        <v>238.02200000000005</v>
      </c>
      <c r="M51" s="330">
        <f t="shared" si="13"/>
        <v>36</v>
      </c>
      <c r="N51" s="330">
        <f t="shared" si="13"/>
        <v>86</v>
      </c>
      <c r="O51" s="330">
        <f t="shared" si="13"/>
        <v>78</v>
      </c>
      <c r="P51" s="330">
        <f t="shared" si="13"/>
        <v>80</v>
      </c>
      <c r="Q51" s="330">
        <f t="shared" si="13"/>
        <v>85</v>
      </c>
      <c r="R51" s="330">
        <f t="shared" si="13"/>
        <v>90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337">
        <f>H30-H51</f>
        <v>0.128</v>
      </c>
      <c r="I52" s="337">
        <f t="shared" ref="I52:R52" si="14">I30-I51</f>
        <v>0.128</v>
      </c>
      <c r="J52" s="337">
        <f t="shared" si="14"/>
        <v>0.129</v>
      </c>
      <c r="K52" s="337">
        <f t="shared" si="14"/>
        <v>0.39999999999996305</v>
      </c>
      <c r="L52" s="337">
        <f t="shared" si="14"/>
        <v>-7.600000000005025E-2</v>
      </c>
      <c r="M52" s="337">
        <f t="shared" si="14"/>
        <v>0</v>
      </c>
      <c r="N52" s="337">
        <f t="shared" si="14"/>
        <v>0</v>
      </c>
      <c r="O52" s="337">
        <f t="shared" si="14"/>
        <v>0</v>
      </c>
      <c r="P52" s="337">
        <f t="shared" si="14"/>
        <v>0</v>
      </c>
      <c r="Q52" s="337">
        <f t="shared" si="14"/>
        <v>0</v>
      </c>
      <c r="R52" s="337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332">
        <v>0</v>
      </c>
      <c r="I54" s="332">
        <v>0</v>
      </c>
      <c r="J54" s="332">
        <v>0</v>
      </c>
      <c r="K54" s="332">
        <v>14</v>
      </c>
      <c r="L54" s="332">
        <v>15</v>
      </c>
      <c r="M54" s="333">
        <v>16.8</v>
      </c>
      <c r="N54" s="332">
        <v>17.8</v>
      </c>
      <c r="O54" s="332">
        <v>19.8</v>
      </c>
      <c r="P54" s="332">
        <v>19.8</v>
      </c>
      <c r="Q54" s="332">
        <v>19.8</v>
      </c>
      <c r="R54" s="332">
        <v>19.8</v>
      </c>
    </row>
    <row r="55" spans="1:18" ht="12" x14ac:dyDescent="0.2">
      <c r="E55" s="20" t="s">
        <v>14</v>
      </c>
      <c r="G55" s="46" t="s">
        <v>122</v>
      </c>
      <c r="H55" s="332"/>
      <c r="I55" s="332"/>
      <c r="J55" s="332"/>
      <c r="K55" s="332"/>
      <c r="L55" s="340"/>
      <c r="M55" s="341"/>
      <c r="N55" s="340"/>
      <c r="O55" s="340"/>
      <c r="P55" s="340"/>
      <c r="Q55" s="340"/>
      <c r="R55" s="340"/>
    </row>
    <row r="57" spans="1:18" x14ac:dyDescent="0.2">
      <c r="D57" s="49" t="s">
        <v>123</v>
      </c>
      <c r="E57" s="50" t="s">
        <v>3</v>
      </c>
      <c r="F57" s="17"/>
      <c r="G57" s="326" t="s">
        <v>124</v>
      </c>
      <c r="H57" s="338">
        <f>H32</f>
        <v>2011</v>
      </c>
      <c r="I57" s="338">
        <f t="shared" ref="I57:R57" si="15">I32</f>
        <v>2012</v>
      </c>
      <c r="J57" s="338">
        <f t="shared" si="15"/>
        <v>2013</v>
      </c>
      <c r="K57" s="338">
        <f t="shared" si="15"/>
        <v>2014</v>
      </c>
      <c r="L57" s="338">
        <f t="shared" si="15"/>
        <v>2015</v>
      </c>
      <c r="M57" s="339">
        <f t="shared" si="15"/>
        <v>2016</v>
      </c>
      <c r="N57" s="338">
        <f t="shared" si="15"/>
        <v>2017</v>
      </c>
      <c r="O57" s="338">
        <f t="shared" si="15"/>
        <v>2018</v>
      </c>
      <c r="P57" s="338">
        <f t="shared" si="15"/>
        <v>2019</v>
      </c>
      <c r="Q57" s="338">
        <f t="shared" si="15"/>
        <v>2020</v>
      </c>
      <c r="R57" s="338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329" t="s">
        <v>128</v>
      </c>
      <c r="H58" s="332">
        <v>0</v>
      </c>
      <c r="I58" s="332">
        <v>0</v>
      </c>
      <c r="J58" s="332">
        <v>0</v>
      </c>
      <c r="K58" s="332">
        <v>-56.337000000000003</v>
      </c>
      <c r="L58" s="332">
        <v>-84.539000000000001</v>
      </c>
      <c r="M58" s="333">
        <v>-43</v>
      </c>
      <c r="N58" s="332">
        <v>-140</v>
      </c>
      <c r="O58" s="332">
        <v>-50</v>
      </c>
      <c r="P58" s="332">
        <v>-50</v>
      </c>
      <c r="Q58" s="332">
        <v>-50</v>
      </c>
      <c r="R58" s="332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332">
        <v>0</v>
      </c>
      <c r="I59" s="332">
        <v>0</v>
      </c>
      <c r="J59" s="332">
        <v>0.377</v>
      </c>
      <c r="K59" s="332">
        <v>0.377</v>
      </c>
      <c r="L59" s="332">
        <v>0.377</v>
      </c>
      <c r="M59" s="333">
        <v>0.377</v>
      </c>
      <c r="N59" s="332">
        <v>0.377</v>
      </c>
      <c r="O59" s="332">
        <v>0.377</v>
      </c>
      <c r="P59" s="332">
        <v>0.377</v>
      </c>
      <c r="Q59" s="332">
        <v>0.377</v>
      </c>
      <c r="R59" s="332">
        <v>0.377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3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3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3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3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3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3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3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3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3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332">
        <v>0</v>
      </c>
      <c r="I69" s="332">
        <v>0</v>
      </c>
      <c r="J69" s="332">
        <v>0</v>
      </c>
      <c r="K69" s="332">
        <v>0</v>
      </c>
      <c r="L69" s="332">
        <v>0</v>
      </c>
      <c r="M69" s="333">
        <v>0</v>
      </c>
      <c r="N69" s="332">
        <v>0</v>
      </c>
      <c r="O69" s="332">
        <v>0</v>
      </c>
      <c r="P69" s="332">
        <v>0</v>
      </c>
      <c r="Q69" s="332">
        <v>0</v>
      </c>
      <c r="R69" s="332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332">
        <v>0</v>
      </c>
      <c r="I70" s="332">
        <v>0</v>
      </c>
      <c r="J70" s="332">
        <v>-1E-3</v>
      </c>
      <c r="K70" s="332">
        <v>0</v>
      </c>
      <c r="L70" s="332">
        <v>0</v>
      </c>
      <c r="M70" s="333">
        <v>0</v>
      </c>
      <c r="N70" s="332">
        <v>0</v>
      </c>
      <c r="O70" s="332">
        <v>0</v>
      </c>
      <c r="P70" s="332">
        <v>0</v>
      </c>
      <c r="Q70" s="332">
        <v>0</v>
      </c>
      <c r="R70" s="332">
        <v>0</v>
      </c>
    </row>
    <row r="71" spans="2:18" x14ac:dyDescent="0.2">
      <c r="B71" s="51" t="s">
        <v>162</v>
      </c>
      <c r="D71" s="16"/>
      <c r="E71" s="22"/>
      <c r="F71" s="22"/>
      <c r="G71" s="342" t="s">
        <v>163</v>
      </c>
      <c r="H71" s="330">
        <f t="shared" ref="H71:R71" si="16">SUM(H58:H70)</f>
        <v>0</v>
      </c>
      <c r="I71" s="330">
        <f t="shared" si="16"/>
        <v>0</v>
      </c>
      <c r="J71" s="330">
        <f t="shared" si="16"/>
        <v>0.376</v>
      </c>
      <c r="K71" s="330">
        <f t="shared" si="16"/>
        <v>-55.96</v>
      </c>
      <c r="L71" s="330">
        <f t="shared" si="16"/>
        <v>-84.162000000000006</v>
      </c>
      <c r="M71" s="331">
        <f t="shared" si="16"/>
        <v>-42.622999999999998</v>
      </c>
      <c r="N71" s="330">
        <f t="shared" si="16"/>
        <v>-139.62299999999999</v>
      </c>
      <c r="O71" s="330">
        <f t="shared" si="16"/>
        <v>-49.622999999999998</v>
      </c>
      <c r="P71" s="330">
        <f t="shared" si="16"/>
        <v>-49.622999999999998</v>
      </c>
      <c r="Q71" s="330">
        <f t="shared" si="16"/>
        <v>-49.622999999999998</v>
      </c>
      <c r="R71" s="330">
        <f t="shared" si="16"/>
        <v>0.377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326" t="s">
        <v>164</v>
      </c>
      <c r="H73" s="338">
        <f t="shared" ref="H73:R73" si="17">H57</f>
        <v>2011</v>
      </c>
      <c r="I73" s="338">
        <f t="shared" si="17"/>
        <v>2012</v>
      </c>
      <c r="J73" s="338">
        <f t="shared" si="17"/>
        <v>2013</v>
      </c>
      <c r="K73" s="338">
        <f t="shared" si="17"/>
        <v>2014</v>
      </c>
      <c r="L73" s="338">
        <f t="shared" si="17"/>
        <v>2015</v>
      </c>
      <c r="M73" s="339">
        <f t="shared" si="17"/>
        <v>2016</v>
      </c>
      <c r="N73" s="338">
        <f t="shared" si="17"/>
        <v>2017</v>
      </c>
      <c r="O73" s="338">
        <f t="shared" si="17"/>
        <v>2018</v>
      </c>
      <c r="P73" s="338">
        <f t="shared" si="17"/>
        <v>2019</v>
      </c>
      <c r="Q73" s="338">
        <f t="shared" si="17"/>
        <v>2020</v>
      </c>
      <c r="R73" s="338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329" t="s">
        <v>167</v>
      </c>
      <c r="H74" s="332">
        <v>0</v>
      </c>
      <c r="I74" s="332">
        <v>0</v>
      </c>
      <c r="J74" s="332">
        <v>0</v>
      </c>
      <c r="K74" s="332">
        <v>0</v>
      </c>
      <c r="L74" s="332">
        <v>0</v>
      </c>
      <c r="M74" s="333">
        <v>0</v>
      </c>
      <c r="N74" s="332">
        <v>0</v>
      </c>
      <c r="O74" s="332">
        <v>0</v>
      </c>
      <c r="P74" s="332">
        <v>0</v>
      </c>
      <c r="Q74" s="332">
        <v>0</v>
      </c>
      <c r="R74" s="332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332">
        <v>0</v>
      </c>
      <c r="I75" s="332">
        <v>0</v>
      </c>
      <c r="J75" s="332">
        <v>0</v>
      </c>
      <c r="K75" s="332">
        <v>0</v>
      </c>
      <c r="L75" s="332">
        <v>0</v>
      </c>
      <c r="M75" s="333">
        <v>0</v>
      </c>
      <c r="N75" s="332">
        <v>0</v>
      </c>
      <c r="O75" s="332">
        <v>0</v>
      </c>
      <c r="P75" s="332">
        <v>0</v>
      </c>
      <c r="Q75" s="332">
        <v>0</v>
      </c>
      <c r="R75" s="332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332">
        <v>0</v>
      </c>
      <c r="I76" s="332">
        <v>0</v>
      </c>
      <c r="J76" s="332">
        <v>0</v>
      </c>
      <c r="K76" s="332">
        <v>0</v>
      </c>
      <c r="L76" s="332">
        <v>0</v>
      </c>
      <c r="M76" s="333">
        <v>0</v>
      </c>
      <c r="N76" s="332">
        <v>0</v>
      </c>
      <c r="O76" s="332">
        <v>0</v>
      </c>
      <c r="P76" s="332">
        <v>0</v>
      </c>
      <c r="Q76" s="332">
        <v>0</v>
      </c>
      <c r="R76" s="332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332">
        <v>0</v>
      </c>
      <c r="I77" s="332">
        <v>0</v>
      </c>
      <c r="J77" s="332">
        <v>0</v>
      </c>
      <c r="K77" s="332">
        <v>0</v>
      </c>
      <c r="L77" s="332">
        <v>0</v>
      </c>
      <c r="M77" s="333">
        <v>0</v>
      </c>
      <c r="N77" s="332">
        <v>0</v>
      </c>
      <c r="O77" s="332">
        <v>0</v>
      </c>
      <c r="P77" s="332">
        <v>0</v>
      </c>
      <c r="Q77" s="332">
        <v>0</v>
      </c>
      <c r="R77" s="332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332">
        <v>0</v>
      </c>
      <c r="I78" s="332">
        <v>0</v>
      </c>
      <c r="J78" s="332">
        <v>0</v>
      </c>
      <c r="K78" s="332">
        <v>0</v>
      </c>
      <c r="L78" s="332">
        <v>0</v>
      </c>
      <c r="M78" s="333">
        <v>0</v>
      </c>
      <c r="N78" s="332">
        <v>0</v>
      </c>
      <c r="O78" s="332">
        <v>0</v>
      </c>
      <c r="P78" s="332">
        <v>0</v>
      </c>
      <c r="Q78" s="332">
        <v>0</v>
      </c>
      <c r="R78" s="332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332">
        <v>0</v>
      </c>
      <c r="I79" s="332">
        <v>0</v>
      </c>
      <c r="J79" s="332">
        <v>0</v>
      </c>
      <c r="K79" s="332">
        <v>0</v>
      </c>
      <c r="L79" s="332">
        <v>0</v>
      </c>
      <c r="M79" s="333">
        <v>0</v>
      </c>
      <c r="N79" s="332">
        <v>0</v>
      </c>
      <c r="O79" s="332">
        <v>0</v>
      </c>
      <c r="P79" s="332">
        <v>0</v>
      </c>
      <c r="Q79" s="332">
        <v>0</v>
      </c>
      <c r="R79" s="332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332">
        <v>0</v>
      </c>
      <c r="I80" s="332">
        <v>0</v>
      </c>
      <c r="J80" s="332">
        <v>0</v>
      </c>
      <c r="K80" s="332">
        <v>0</v>
      </c>
      <c r="L80" s="332">
        <v>0</v>
      </c>
      <c r="M80" s="333">
        <v>0</v>
      </c>
      <c r="N80" s="332">
        <v>0</v>
      </c>
      <c r="O80" s="332">
        <v>0</v>
      </c>
      <c r="P80" s="332">
        <v>0</v>
      </c>
      <c r="Q80" s="332">
        <v>0</v>
      </c>
      <c r="R80" s="332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332">
        <v>0</v>
      </c>
      <c r="I81" s="332">
        <v>0</v>
      </c>
      <c r="J81" s="332">
        <v>0</v>
      </c>
      <c r="K81" s="332">
        <v>0</v>
      </c>
      <c r="L81" s="332">
        <v>0</v>
      </c>
      <c r="M81" s="333">
        <v>0</v>
      </c>
      <c r="N81" s="332">
        <v>0</v>
      </c>
      <c r="O81" s="332">
        <v>0</v>
      </c>
      <c r="P81" s="332">
        <v>0</v>
      </c>
      <c r="Q81" s="332">
        <v>0</v>
      </c>
      <c r="R81" s="332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332">
        <v>0</v>
      </c>
      <c r="I82" s="332">
        <v>0</v>
      </c>
      <c r="J82" s="332">
        <v>0</v>
      </c>
      <c r="K82" s="332">
        <v>0</v>
      </c>
      <c r="L82" s="332">
        <v>0</v>
      </c>
      <c r="M82" s="333">
        <v>0</v>
      </c>
      <c r="N82" s="332">
        <v>0</v>
      </c>
      <c r="O82" s="332">
        <v>0</v>
      </c>
      <c r="P82" s="332">
        <v>0</v>
      </c>
      <c r="Q82" s="332">
        <v>0</v>
      </c>
      <c r="R82" s="332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332">
        <v>0</v>
      </c>
      <c r="I83" s="332">
        <v>0</v>
      </c>
      <c r="J83" s="332">
        <v>0</v>
      </c>
      <c r="K83" s="332">
        <v>0</v>
      </c>
      <c r="L83" s="332">
        <v>0</v>
      </c>
      <c r="M83" s="333">
        <v>0</v>
      </c>
      <c r="N83" s="332">
        <v>0</v>
      </c>
      <c r="O83" s="332">
        <v>0</v>
      </c>
      <c r="P83" s="332">
        <v>0</v>
      </c>
      <c r="Q83" s="332">
        <v>0</v>
      </c>
      <c r="R83" s="332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332">
        <v>0</v>
      </c>
      <c r="I84" s="332">
        <v>0</v>
      </c>
      <c r="J84" s="332">
        <v>0</v>
      </c>
      <c r="K84" s="332">
        <v>0</v>
      </c>
      <c r="L84" s="332">
        <v>0</v>
      </c>
      <c r="M84" s="333">
        <v>0</v>
      </c>
      <c r="N84" s="332">
        <v>0</v>
      </c>
      <c r="O84" s="332">
        <v>0</v>
      </c>
      <c r="P84" s="332">
        <v>0</v>
      </c>
      <c r="Q84" s="332">
        <v>0</v>
      </c>
      <c r="R84" s="332">
        <v>0</v>
      </c>
    </row>
    <row r="85" spans="1:18" x14ac:dyDescent="0.2">
      <c r="B85" s="2" t="s">
        <v>192</v>
      </c>
      <c r="G85" s="186" t="s">
        <v>163</v>
      </c>
      <c r="H85" s="330">
        <f>SUM(H74:H84)</f>
        <v>0</v>
      </c>
      <c r="I85" s="330">
        <f t="shared" ref="I85:R85" si="18">SUM(I74:I84)</f>
        <v>0</v>
      </c>
      <c r="J85" s="330">
        <f t="shared" si="18"/>
        <v>0</v>
      </c>
      <c r="K85" s="330">
        <f t="shared" si="18"/>
        <v>0</v>
      </c>
      <c r="L85" s="330">
        <f t="shared" si="18"/>
        <v>0</v>
      </c>
      <c r="M85" s="331">
        <f t="shared" si="18"/>
        <v>0</v>
      </c>
      <c r="N85" s="330">
        <f t="shared" si="18"/>
        <v>0</v>
      </c>
      <c r="O85" s="330">
        <f t="shared" si="18"/>
        <v>0</v>
      </c>
      <c r="P85" s="330">
        <f t="shared" si="18"/>
        <v>0</v>
      </c>
      <c r="Q85" s="330">
        <f t="shared" si="18"/>
        <v>0</v>
      </c>
      <c r="R85" s="330">
        <f t="shared" si="18"/>
        <v>0</v>
      </c>
    </row>
    <row r="87" spans="1:18" x14ac:dyDescent="0.2">
      <c r="A87" s="23" t="s">
        <v>0</v>
      </c>
      <c r="D87" s="1237" t="s">
        <v>193</v>
      </c>
      <c r="E87" s="1238"/>
      <c r="G87" s="326" t="s">
        <v>194</v>
      </c>
      <c r="H87" s="338">
        <f t="shared" ref="H87:R87" si="19">H32</f>
        <v>2011</v>
      </c>
      <c r="I87" s="338">
        <f t="shared" si="19"/>
        <v>2012</v>
      </c>
      <c r="J87" s="338">
        <f t="shared" si="19"/>
        <v>2013</v>
      </c>
      <c r="K87" s="338">
        <f t="shared" si="19"/>
        <v>2014</v>
      </c>
      <c r="L87" s="338">
        <f t="shared" si="19"/>
        <v>2015</v>
      </c>
      <c r="M87" s="339">
        <f t="shared" si="19"/>
        <v>2016</v>
      </c>
      <c r="N87" s="338">
        <f t="shared" si="19"/>
        <v>2017</v>
      </c>
      <c r="O87" s="338">
        <f t="shared" si="19"/>
        <v>2018</v>
      </c>
      <c r="P87" s="338">
        <f t="shared" si="19"/>
        <v>2019</v>
      </c>
      <c r="Q87" s="338">
        <f t="shared" si="19"/>
        <v>2020</v>
      </c>
      <c r="R87" s="338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343"/>
      <c r="G88" s="329" t="s">
        <v>198</v>
      </c>
      <c r="H88" s="330">
        <f>H46+H71</f>
        <v>-0.128</v>
      </c>
      <c r="I88" s="330">
        <f t="shared" ref="I88:R88" si="20">I46+I71</f>
        <v>-0.128</v>
      </c>
      <c r="J88" s="330">
        <f t="shared" si="20"/>
        <v>0.248</v>
      </c>
      <c r="K88" s="330">
        <f t="shared" si="20"/>
        <v>22.202000000000034</v>
      </c>
      <c r="L88" s="330">
        <f t="shared" si="20"/>
        <v>152.86000000000004</v>
      </c>
      <c r="M88" s="331">
        <f t="shared" si="20"/>
        <v>-6.6229999999999976</v>
      </c>
      <c r="N88" s="330">
        <f t="shared" si="20"/>
        <v>-53.62299999999999</v>
      </c>
      <c r="O88" s="330">
        <f t="shared" si="20"/>
        <v>28.377000000000002</v>
      </c>
      <c r="P88" s="330">
        <f t="shared" si="20"/>
        <v>30.377000000000002</v>
      </c>
      <c r="Q88" s="330">
        <f t="shared" si="20"/>
        <v>35.377000000000002</v>
      </c>
      <c r="R88" s="330">
        <f t="shared" si="20"/>
        <v>90.376999999999995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343"/>
      <c r="G89" s="329" t="s">
        <v>202</v>
      </c>
      <c r="H89" s="344">
        <f t="shared" ref="H89:R89" si="21">H33+H38+H41-H45</f>
        <v>-0.128</v>
      </c>
      <c r="I89" s="330">
        <f t="shared" si="21"/>
        <v>-0.128</v>
      </c>
      <c r="J89" s="330">
        <f t="shared" si="21"/>
        <v>-0.128</v>
      </c>
      <c r="K89" s="330">
        <f t="shared" si="21"/>
        <v>112.57700000000003</v>
      </c>
      <c r="L89" s="330">
        <f t="shared" si="21"/>
        <v>274.27800000000002</v>
      </c>
      <c r="M89" s="331">
        <f t="shared" si="21"/>
        <v>70</v>
      </c>
      <c r="N89" s="330">
        <f t="shared" si="21"/>
        <v>121</v>
      </c>
      <c r="O89" s="330">
        <f t="shared" si="21"/>
        <v>113</v>
      </c>
      <c r="P89" s="330">
        <f t="shared" si="21"/>
        <v>116</v>
      </c>
      <c r="Q89" s="330">
        <f t="shared" si="21"/>
        <v>121</v>
      </c>
      <c r="R89" s="330">
        <f t="shared" si="21"/>
        <v>126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345">
        <v>0</v>
      </c>
      <c r="G90" s="186" t="s">
        <v>206</v>
      </c>
      <c r="H90" s="346" t="e">
        <f t="shared" ref="H90:R90" si="22">H89/H33</f>
        <v>#DIV/0!</v>
      </c>
      <c r="I90" s="347" t="e">
        <f t="shared" si="22"/>
        <v>#DIV/0!</v>
      </c>
      <c r="J90" s="347" t="e">
        <f t="shared" si="22"/>
        <v>#DIV/0!</v>
      </c>
      <c r="K90" s="347">
        <f t="shared" si="22"/>
        <v>0.17468911088973099</v>
      </c>
      <c r="L90" s="347">
        <f t="shared" si="22"/>
        <v>0.24968275093627162</v>
      </c>
      <c r="M90" s="348">
        <f t="shared" si="22"/>
        <v>7.2840790842872011E-2</v>
      </c>
      <c r="N90" s="347">
        <f t="shared" si="22"/>
        <v>0.13180827886710239</v>
      </c>
      <c r="O90" s="347">
        <f t="shared" si="22"/>
        <v>0.12431243124312431</v>
      </c>
      <c r="P90" s="347">
        <f t="shared" si="22"/>
        <v>0.12719298245614036</v>
      </c>
      <c r="Q90" s="347">
        <f t="shared" si="22"/>
        <v>0.13195201744820065</v>
      </c>
      <c r="R90" s="347">
        <f t="shared" si="22"/>
        <v>0.13665943600867678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343"/>
      <c r="G91" s="18" t="s">
        <v>210</v>
      </c>
      <c r="H91" s="349">
        <f t="shared" ref="H91:R91" si="23">-H33/(H38+H41)</f>
        <v>0</v>
      </c>
      <c r="I91" s="349">
        <f t="shared" si="23"/>
        <v>0</v>
      </c>
      <c r="J91" s="349">
        <f t="shared" si="23"/>
        <v>0</v>
      </c>
      <c r="K91" s="349">
        <f t="shared" si="23"/>
        <v>1.1380271243907609</v>
      </c>
      <c r="L91" s="349">
        <f t="shared" si="23"/>
        <v>1.2751322137149383</v>
      </c>
      <c r="M91" s="350">
        <f t="shared" si="23"/>
        <v>1.038918918918919</v>
      </c>
      <c r="N91" s="349">
        <f t="shared" si="23"/>
        <v>1.1033653846153846</v>
      </c>
      <c r="O91" s="349">
        <f t="shared" si="23"/>
        <v>1.0938628158844765</v>
      </c>
      <c r="P91" s="349">
        <f t="shared" si="23"/>
        <v>1.0961538461538463</v>
      </c>
      <c r="Q91" s="349">
        <f t="shared" si="23"/>
        <v>1.1021634615384615</v>
      </c>
      <c r="R91" s="349">
        <f t="shared" si="23"/>
        <v>1.1081730769230769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343"/>
      <c r="G92" s="329" t="s">
        <v>214</v>
      </c>
      <c r="H92" s="344">
        <f>H46</f>
        <v>-0.128</v>
      </c>
      <c r="I92" s="344">
        <f t="shared" ref="I92:R92" si="24">I46</f>
        <v>-0.128</v>
      </c>
      <c r="J92" s="344">
        <f t="shared" si="24"/>
        <v>-0.128</v>
      </c>
      <c r="K92" s="344">
        <f t="shared" si="24"/>
        <v>78.162000000000035</v>
      </c>
      <c r="L92" s="344">
        <f t="shared" si="24"/>
        <v>237.02200000000005</v>
      </c>
      <c r="M92" s="351">
        <f t="shared" si="24"/>
        <v>36</v>
      </c>
      <c r="N92" s="344">
        <f t="shared" si="24"/>
        <v>86</v>
      </c>
      <c r="O92" s="344">
        <f t="shared" si="24"/>
        <v>78</v>
      </c>
      <c r="P92" s="344">
        <f t="shared" si="24"/>
        <v>80</v>
      </c>
      <c r="Q92" s="344">
        <f t="shared" si="24"/>
        <v>85</v>
      </c>
      <c r="R92" s="344">
        <f t="shared" si="24"/>
        <v>90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345">
        <v>-0.3</v>
      </c>
      <c r="E93" s="345">
        <v>0</v>
      </c>
      <c r="G93" s="18" t="s">
        <v>218</v>
      </c>
      <c r="H93" s="352" t="e">
        <f>H46/H33</f>
        <v>#DIV/0!</v>
      </c>
      <c r="I93" s="353" t="e">
        <f t="shared" ref="I93:R93" si="25">I46/I33</f>
        <v>#DIV/0!</v>
      </c>
      <c r="J93" s="353" t="e">
        <f t="shared" si="25"/>
        <v>#DIV/0!</v>
      </c>
      <c r="K93" s="353">
        <f t="shared" si="25"/>
        <v>0.12128632212053224</v>
      </c>
      <c r="L93" s="353">
        <f t="shared" si="25"/>
        <v>0.21576759708185483</v>
      </c>
      <c r="M93" s="354">
        <f t="shared" si="25"/>
        <v>3.7460978147762745E-2</v>
      </c>
      <c r="N93" s="353">
        <f t="shared" si="25"/>
        <v>9.3681917211328972E-2</v>
      </c>
      <c r="O93" s="353">
        <f t="shared" si="25"/>
        <v>8.5808580858085806E-2</v>
      </c>
      <c r="P93" s="353">
        <f t="shared" si="25"/>
        <v>8.771929824561403E-2</v>
      </c>
      <c r="Q93" s="353">
        <f t="shared" si="25"/>
        <v>9.2693565976008724E-2</v>
      </c>
      <c r="R93" s="353">
        <f t="shared" si="25"/>
        <v>9.7613882863340565E-2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343"/>
      <c r="G94" s="186" t="s">
        <v>222</v>
      </c>
      <c r="H94" s="344">
        <f>H29+H30</f>
        <v>0</v>
      </c>
      <c r="I94" s="344">
        <f t="shared" ref="I94:R94" si="26">I29+I30</f>
        <v>0</v>
      </c>
      <c r="J94" s="344">
        <f t="shared" si="26"/>
        <v>0</v>
      </c>
      <c r="K94" s="344">
        <f t="shared" si="26"/>
        <v>78.561999999999998</v>
      </c>
      <c r="L94" s="344">
        <f t="shared" si="26"/>
        <v>316.50799999999998</v>
      </c>
      <c r="M94" s="351">
        <f t="shared" si="26"/>
        <v>353</v>
      </c>
      <c r="N94" s="344">
        <f t="shared" si="26"/>
        <v>439</v>
      </c>
      <c r="O94" s="344">
        <f t="shared" si="26"/>
        <v>502</v>
      </c>
      <c r="P94" s="344">
        <f t="shared" si="26"/>
        <v>575</v>
      </c>
      <c r="Q94" s="344">
        <f t="shared" si="26"/>
        <v>655</v>
      </c>
      <c r="R94" s="344">
        <f t="shared" si="26"/>
        <v>740</v>
      </c>
    </row>
    <row r="95" spans="1:18" x14ac:dyDescent="0.2">
      <c r="G95" s="68" t="s">
        <v>223</v>
      </c>
      <c r="H95" s="338">
        <f t="shared" ref="H95:R95" si="27">H87</f>
        <v>2011</v>
      </c>
      <c r="I95" s="338">
        <f t="shared" si="27"/>
        <v>2012</v>
      </c>
      <c r="J95" s="338">
        <f t="shared" si="27"/>
        <v>2013</v>
      </c>
      <c r="K95" s="338">
        <f t="shared" si="27"/>
        <v>2014</v>
      </c>
      <c r="L95" s="338">
        <f t="shared" si="27"/>
        <v>2015</v>
      </c>
      <c r="M95" s="339">
        <f t="shared" si="27"/>
        <v>2016</v>
      </c>
      <c r="N95" s="338">
        <f t="shared" si="27"/>
        <v>2017</v>
      </c>
      <c r="O95" s="338">
        <f t="shared" si="27"/>
        <v>2018</v>
      </c>
      <c r="P95" s="338">
        <f t="shared" si="27"/>
        <v>2019</v>
      </c>
      <c r="Q95" s="338">
        <f t="shared" si="27"/>
        <v>2020</v>
      </c>
      <c r="R95" s="338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343"/>
      <c r="F96" s="69"/>
      <c r="G96" s="329" t="s">
        <v>227</v>
      </c>
      <c r="H96" s="344">
        <f t="shared" ref="H96:R96" si="28">H6+H12</f>
        <v>0</v>
      </c>
      <c r="I96" s="330">
        <f t="shared" si="28"/>
        <v>0</v>
      </c>
      <c r="J96" s="330">
        <f t="shared" si="28"/>
        <v>0</v>
      </c>
      <c r="K96" s="330">
        <f t="shared" si="28"/>
        <v>250.62299999999999</v>
      </c>
      <c r="L96" s="330">
        <f t="shared" si="28"/>
        <v>245.38399999999999</v>
      </c>
      <c r="M96" s="331">
        <f t="shared" si="28"/>
        <v>260</v>
      </c>
      <c r="N96" s="330">
        <f t="shared" si="28"/>
        <v>240</v>
      </c>
      <c r="O96" s="330">
        <f t="shared" si="28"/>
        <v>201</v>
      </c>
      <c r="P96" s="330">
        <f t="shared" si="28"/>
        <v>227</v>
      </c>
      <c r="Q96" s="330">
        <f t="shared" si="28"/>
        <v>293</v>
      </c>
      <c r="R96" s="330">
        <f t="shared" si="28"/>
        <v>364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343"/>
      <c r="F97" s="69"/>
      <c r="G97" s="18" t="s">
        <v>230</v>
      </c>
      <c r="H97" s="344">
        <f>H19</f>
        <v>0</v>
      </c>
      <c r="I97" s="344">
        <f t="shared" ref="I97:R97" si="29">I19</f>
        <v>0</v>
      </c>
      <c r="J97" s="344">
        <f t="shared" si="29"/>
        <v>0</v>
      </c>
      <c r="K97" s="344">
        <f t="shared" si="29"/>
        <v>182.649</v>
      </c>
      <c r="L97" s="344">
        <f t="shared" si="29"/>
        <v>24.786000000000001</v>
      </c>
      <c r="M97" s="351">
        <f t="shared" si="29"/>
        <v>30</v>
      </c>
      <c r="N97" s="344">
        <f t="shared" si="29"/>
        <v>39</v>
      </c>
      <c r="O97" s="344">
        <f t="shared" si="29"/>
        <v>42</v>
      </c>
      <c r="P97" s="344">
        <f t="shared" si="29"/>
        <v>20</v>
      </c>
      <c r="Q97" s="344">
        <f t="shared" si="29"/>
        <v>20</v>
      </c>
      <c r="R97" s="344">
        <f t="shared" si="29"/>
        <v>20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343"/>
      <c r="F98" s="69"/>
      <c r="G98" s="18" t="s">
        <v>234</v>
      </c>
      <c r="H98" s="344">
        <f t="shared" ref="H98:R98" si="30">H97-H96</f>
        <v>0</v>
      </c>
      <c r="I98" s="330">
        <f t="shared" si="30"/>
        <v>0</v>
      </c>
      <c r="J98" s="330">
        <f t="shared" si="30"/>
        <v>0</v>
      </c>
      <c r="K98" s="330">
        <f t="shared" si="30"/>
        <v>-67.97399999999999</v>
      </c>
      <c r="L98" s="330">
        <f t="shared" si="30"/>
        <v>-220.59799999999998</v>
      </c>
      <c r="M98" s="331">
        <f t="shared" si="30"/>
        <v>-230</v>
      </c>
      <c r="N98" s="330">
        <f t="shared" si="30"/>
        <v>-201</v>
      </c>
      <c r="O98" s="330">
        <f t="shared" si="30"/>
        <v>-159</v>
      </c>
      <c r="P98" s="330">
        <f t="shared" si="30"/>
        <v>-207</v>
      </c>
      <c r="Q98" s="330">
        <f t="shared" si="30"/>
        <v>-273</v>
      </c>
      <c r="R98" s="330">
        <f t="shared" si="30"/>
        <v>-344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345">
        <v>0.4</v>
      </c>
      <c r="F99" s="69"/>
      <c r="G99" s="18" t="s">
        <v>238</v>
      </c>
      <c r="H99" s="355" t="e">
        <f t="shared" ref="H99:R99" si="31">H98/H33</f>
        <v>#DIV/0!</v>
      </c>
      <c r="I99" s="347" t="e">
        <f t="shared" si="31"/>
        <v>#DIV/0!</v>
      </c>
      <c r="J99" s="347" t="e">
        <f t="shared" si="31"/>
        <v>#DIV/0!</v>
      </c>
      <c r="K99" s="347">
        <f t="shared" si="31"/>
        <v>-0.10547729663802172</v>
      </c>
      <c r="L99" s="347">
        <f t="shared" si="31"/>
        <v>-0.20081638152181233</v>
      </c>
      <c r="M99" s="348">
        <f t="shared" si="31"/>
        <v>-0.23933402705515089</v>
      </c>
      <c r="N99" s="347">
        <f t="shared" si="31"/>
        <v>-0.21895424836601307</v>
      </c>
      <c r="O99" s="347">
        <f t="shared" si="31"/>
        <v>-0.17491749174917492</v>
      </c>
      <c r="P99" s="347">
        <f t="shared" si="31"/>
        <v>-0.22697368421052633</v>
      </c>
      <c r="Q99" s="347">
        <f t="shared" si="31"/>
        <v>-0.29770992366412213</v>
      </c>
      <c r="R99" s="347">
        <f t="shared" si="31"/>
        <v>-0.37310195227765725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356">
        <v>0</v>
      </c>
      <c r="E100" s="356">
        <v>5</v>
      </c>
      <c r="F100" s="69"/>
      <c r="G100" s="18" t="s">
        <v>242</v>
      </c>
      <c r="H100" s="349">
        <f t="shared" ref="H100:R100" si="32">H98/H89</f>
        <v>0</v>
      </c>
      <c r="I100" s="349">
        <f t="shared" si="32"/>
        <v>0</v>
      </c>
      <c r="J100" s="349">
        <f t="shared" si="32"/>
        <v>0</v>
      </c>
      <c r="K100" s="349">
        <f t="shared" si="32"/>
        <v>-0.60380006573278711</v>
      </c>
      <c r="L100" s="349">
        <f t="shared" si="32"/>
        <v>-0.80428616221497884</v>
      </c>
      <c r="M100" s="350">
        <f t="shared" si="32"/>
        <v>-3.2857142857142856</v>
      </c>
      <c r="N100" s="349">
        <f t="shared" si="32"/>
        <v>-1.6611570247933884</v>
      </c>
      <c r="O100" s="349">
        <f t="shared" si="32"/>
        <v>-1.4070796460176991</v>
      </c>
      <c r="P100" s="349">
        <f t="shared" si="32"/>
        <v>-1.7844827586206897</v>
      </c>
      <c r="Q100" s="349">
        <f t="shared" si="32"/>
        <v>-2.2561983471074378</v>
      </c>
      <c r="R100" s="349">
        <f t="shared" si="32"/>
        <v>-2.7301587301587302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343"/>
      <c r="F101" s="69"/>
      <c r="G101" s="18" t="s">
        <v>246</v>
      </c>
      <c r="H101" s="344">
        <f t="shared" ref="H101:R101" si="33">-(H75+H77+H78+H79+H80+H81)</f>
        <v>0</v>
      </c>
      <c r="I101" s="344">
        <f t="shared" si="33"/>
        <v>0</v>
      </c>
      <c r="J101" s="344">
        <f t="shared" si="33"/>
        <v>0</v>
      </c>
      <c r="K101" s="344">
        <f t="shared" si="33"/>
        <v>0</v>
      </c>
      <c r="L101" s="344">
        <f t="shared" si="33"/>
        <v>0</v>
      </c>
      <c r="M101" s="351">
        <f t="shared" si="33"/>
        <v>0</v>
      </c>
      <c r="N101" s="344">
        <f t="shared" si="33"/>
        <v>0</v>
      </c>
      <c r="O101" s="344">
        <f t="shared" si="33"/>
        <v>0</v>
      </c>
      <c r="P101" s="344">
        <f t="shared" si="33"/>
        <v>0</v>
      </c>
      <c r="Q101" s="344">
        <f t="shared" si="33"/>
        <v>0</v>
      </c>
      <c r="R101" s="344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356">
        <v>1.2</v>
      </c>
      <c r="F102" s="69"/>
      <c r="G102" s="18" t="s">
        <v>250</v>
      </c>
      <c r="H102" s="357" t="e">
        <f t="shared" ref="H102:R102" si="34">H89/H101</f>
        <v>#DIV/0!</v>
      </c>
      <c r="I102" s="349" t="e">
        <f t="shared" si="34"/>
        <v>#DIV/0!</v>
      </c>
      <c r="J102" s="349" t="e">
        <f t="shared" si="34"/>
        <v>#DIV/0!</v>
      </c>
      <c r="K102" s="349" t="e">
        <f t="shared" si="34"/>
        <v>#DIV/0!</v>
      </c>
      <c r="L102" s="349" t="e">
        <f t="shared" si="34"/>
        <v>#DIV/0!</v>
      </c>
      <c r="M102" s="350" t="e">
        <f t="shared" si="34"/>
        <v>#DIV/0!</v>
      </c>
      <c r="N102" s="349" t="e">
        <f t="shared" si="34"/>
        <v>#DIV/0!</v>
      </c>
      <c r="O102" s="349" t="e">
        <f t="shared" si="34"/>
        <v>#DIV/0!</v>
      </c>
      <c r="P102" s="349" t="e">
        <f t="shared" si="34"/>
        <v>#DIV/0!</v>
      </c>
      <c r="Q102" s="349" t="e">
        <f t="shared" si="34"/>
        <v>#DIV/0!</v>
      </c>
      <c r="R102" s="349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356">
        <v>0</v>
      </c>
      <c r="F103" s="69"/>
      <c r="G103" s="329" t="s">
        <v>254</v>
      </c>
      <c r="H103" s="344">
        <f t="shared" ref="H103:R103" si="35">H5-H20</f>
        <v>0</v>
      </c>
      <c r="I103" s="344">
        <f t="shared" si="35"/>
        <v>0</v>
      </c>
      <c r="J103" s="344">
        <f t="shared" si="35"/>
        <v>0</v>
      </c>
      <c r="K103" s="344">
        <f t="shared" si="35"/>
        <v>83.327999999999975</v>
      </c>
      <c r="L103" s="344">
        <f t="shared" si="35"/>
        <v>273.99200000000002</v>
      </c>
      <c r="M103" s="351">
        <f t="shared" si="35"/>
        <v>306</v>
      </c>
      <c r="N103" s="344">
        <f t="shared" si="35"/>
        <v>213</v>
      </c>
      <c r="O103" s="344">
        <f t="shared" si="35"/>
        <v>171</v>
      </c>
      <c r="P103" s="344">
        <f t="shared" si="35"/>
        <v>229</v>
      </c>
      <c r="Q103" s="344">
        <f t="shared" si="35"/>
        <v>295</v>
      </c>
      <c r="R103" s="344">
        <f t="shared" si="35"/>
        <v>366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356">
        <v>1</v>
      </c>
      <c r="F104" s="69"/>
      <c r="G104" s="18" t="s">
        <v>258</v>
      </c>
      <c r="H104" s="357" t="e">
        <f t="shared" ref="H104:R104" si="36">H5/H20</f>
        <v>#DIV/0!</v>
      </c>
      <c r="I104" s="357" t="e">
        <f t="shared" si="36"/>
        <v>#DIV/0!</v>
      </c>
      <c r="J104" s="357" t="e">
        <f t="shared" si="36"/>
        <v>#DIV/0!</v>
      </c>
      <c r="K104" s="357">
        <f t="shared" si="36"/>
        <v>1.4562193058817732</v>
      </c>
      <c r="L104" s="357">
        <f t="shared" si="36"/>
        <v>12.054304849511821</v>
      </c>
      <c r="M104" s="358">
        <f t="shared" si="36"/>
        <v>13.75</v>
      </c>
      <c r="N104" s="357">
        <f t="shared" si="36"/>
        <v>6.4615384615384617</v>
      </c>
      <c r="O104" s="357">
        <f t="shared" si="36"/>
        <v>5.0714285714285712</v>
      </c>
      <c r="P104" s="357">
        <f t="shared" si="36"/>
        <v>12.45</v>
      </c>
      <c r="Q104" s="357">
        <f t="shared" si="36"/>
        <v>15.75</v>
      </c>
      <c r="R104" s="357">
        <f t="shared" si="36"/>
        <v>19.3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356">
        <v>1</v>
      </c>
      <c r="F105" s="69"/>
      <c r="G105" s="186" t="s">
        <v>262</v>
      </c>
      <c r="H105" s="357">
        <f t="shared" ref="H105:R105" si="37">-H6/((H38+H41-H45+H47)/12)</f>
        <v>0</v>
      </c>
      <c r="I105" s="357">
        <f t="shared" si="37"/>
        <v>0</v>
      </c>
      <c r="J105" s="357">
        <f t="shared" si="37"/>
        <v>0</v>
      </c>
      <c r="K105" s="357">
        <f t="shared" si="37"/>
        <v>5.6545852800992735</v>
      </c>
      <c r="L105" s="357">
        <f t="shared" si="37"/>
        <v>3.5769045756461146</v>
      </c>
      <c r="M105" s="358">
        <f t="shared" si="37"/>
        <v>3.5016835016835017</v>
      </c>
      <c r="N105" s="357">
        <f t="shared" si="37"/>
        <v>3.6135508155583436</v>
      </c>
      <c r="O105" s="357">
        <f t="shared" si="37"/>
        <v>3.0301507537688446</v>
      </c>
      <c r="P105" s="357">
        <f t="shared" si="37"/>
        <v>3.4221105527638191</v>
      </c>
      <c r="Q105" s="357">
        <f t="shared" si="37"/>
        <v>4.417085427135679</v>
      </c>
      <c r="R105" s="357">
        <f t="shared" si="37"/>
        <v>5.4874371859296485</v>
      </c>
    </row>
    <row r="106" spans="1:18" x14ac:dyDescent="0.2">
      <c r="C106" s="16"/>
      <c r="F106" s="69"/>
      <c r="G106" s="68" t="s">
        <v>263</v>
      </c>
      <c r="H106" s="338">
        <f t="shared" ref="H106:R106" si="38">H95</f>
        <v>2011</v>
      </c>
      <c r="I106" s="338">
        <f t="shared" si="38"/>
        <v>2012</v>
      </c>
      <c r="J106" s="338">
        <f t="shared" si="38"/>
        <v>2013</v>
      </c>
      <c r="K106" s="338">
        <f t="shared" si="38"/>
        <v>2014</v>
      </c>
      <c r="L106" s="338">
        <f t="shared" si="38"/>
        <v>2015</v>
      </c>
      <c r="M106" s="339">
        <f t="shared" si="38"/>
        <v>2016</v>
      </c>
      <c r="N106" s="338">
        <f t="shared" si="38"/>
        <v>2017</v>
      </c>
      <c r="O106" s="338">
        <f t="shared" si="38"/>
        <v>2018</v>
      </c>
      <c r="P106" s="338">
        <f t="shared" si="38"/>
        <v>2019</v>
      </c>
      <c r="Q106" s="338">
        <f t="shared" si="38"/>
        <v>2020</v>
      </c>
      <c r="R106" s="338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345">
        <v>0.6</v>
      </c>
      <c r="F107" s="69"/>
      <c r="G107" s="329" t="s">
        <v>267</v>
      </c>
      <c r="H107" s="355" t="e">
        <f t="shared" ref="H107:R107" si="39">H17/H4</f>
        <v>#DIV/0!</v>
      </c>
      <c r="I107" s="355" t="e">
        <f t="shared" si="39"/>
        <v>#DIV/0!</v>
      </c>
      <c r="J107" s="355">
        <f t="shared" si="39"/>
        <v>0</v>
      </c>
      <c r="K107" s="355">
        <f t="shared" si="39"/>
        <v>0</v>
      </c>
      <c r="L107" s="355">
        <f t="shared" si="39"/>
        <v>0</v>
      </c>
      <c r="M107" s="359">
        <f t="shared" si="39"/>
        <v>0</v>
      </c>
      <c r="N107" s="355">
        <f t="shared" si="39"/>
        <v>0</v>
      </c>
      <c r="O107" s="355">
        <f t="shared" si="39"/>
        <v>0</v>
      </c>
      <c r="P107" s="355">
        <f t="shared" si="39"/>
        <v>0</v>
      </c>
      <c r="Q107" s="355">
        <f t="shared" si="39"/>
        <v>0</v>
      </c>
      <c r="R107" s="355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345">
        <v>0.4</v>
      </c>
      <c r="F108" s="69"/>
      <c r="G108" s="186" t="s">
        <v>271</v>
      </c>
      <c r="H108" s="355" t="e">
        <f t="shared" ref="H108:R108" si="40">H27/H17</f>
        <v>#DIV/0!</v>
      </c>
      <c r="I108" s="355" t="e">
        <f t="shared" si="40"/>
        <v>#DIV/0!</v>
      </c>
      <c r="J108" s="355" t="e">
        <f t="shared" si="40"/>
        <v>#DIV/0!</v>
      </c>
      <c r="K108" s="355" t="e">
        <f t="shared" si="40"/>
        <v>#DIV/0!</v>
      </c>
      <c r="L108" s="355" t="e">
        <f t="shared" si="40"/>
        <v>#DIV/0!</v>
      </c>
      <c r="M108" s="359" t="e">
        <f t="shared" si="40"/>
        <v>#DIV/0!</v>
      </c>
      <c r="N108" s="355" t="e">
        <f t="shared" si="40"/>
        <v>#DIV/0!</v>
      </c>
      <c r="O108" s="355" t="e">
        <f t="shared" si="40"/>
        <v>#DIV/0!</v>
      </c>
      <c r="P108" s="355" t="e">
        <f t="shared" si="40"/>
        <v>#DIV/0!</v>
      </c>
      <c r="Q108" s="355" t="e">
        <f t="shared" si="40"/>
        <v>#DIV/0!</v>
      </c>
      <c r="R108" s="355" t="e">
        <f t="shared" si="40"/>
        <v>#DIV/0!</v>
      </c>
    </row>
    <row r="109" spans="1:18" x14ac:dyDescent="0.2">
      <c r="C109" s="16"/>
      <c r="F109" s="69"/>
      <c r="G109" s="198" t="s">
        <v>272</v>
      </c>
      <c r="H109" s="338">
        <f t="shared" ref="H109:R109" si="41">H95</f>
        <v>2011</v>
      </c>
      <c r="I109" s="338">
        <f t="shared" si="41"/>
        <v>2012</v>
      </c>
      <c r="J109" s="338">
        <f t="shared" si="41"/>
        <v>2013</v>
      </c>
      <c r="K109" s="338">
        <f t="shared" si="41"/>
        <v>2014</v>
      </c>
      <c r="L109" s="338">
        <f t="shared" si="41"/>
        <v>2015</v>
      </c>
      <c r="M109" s="339">
        <f t="shared" si="41"/>
        <v>2016</v>
      </c>
      <c r="N109" s="338">
        <f t="shared" si="41"/>
        <v>2017</v>
      </c>
      <c r="O109" s="338">
        <f t="shared" si="41"/>
        <v>2018</v>
      </c>
      <c r="P109" s="338">
        <f t="shared" si="41"/>
        <v>2019</v>
      </c>
      <c r="Q109" s="338">
        <f t="shared" si="41"/>
        <v>2020</v>
      </c>
      <c r="R109" s="338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343"/>
      <c r="F110" s="69"/>
      <c r="G110" s="18" t="s">
        <v>276</v>
      </c>
      <c r="H110" s="360" t="e">
        <f t="shared" ref="H110:R110" si="42">H10/H4</f>
        <v>#DIV/0!</v>
      </c>
      <c r="I110" s="360" t="e">
        <f t="shared" si="42"/>
        <v>#DIV/0!</v>
      </c>
      <c r="J110" s="360">
        <f t="shared" si="42"/>
        <v>1</v>
      </c>
      <c r="K110" s="360">
        <f t="shared" si="42"/>
        <v>0.62444137884292528</v>
      </c>
      <c r="L110" s="360">
        <f t="shared" si="42"/>
        <v>0.62098487760385945</v>
      </c>
      <c r="M110" s="361">
        <f t="shared" si="42"/>
        <v>0.60240963855421692</v>
      </c>
      <c r="N110" s="360">
        <f t="shared" si="42"/>
        <v>0.72756756756756757</v>
      </c>
      <c r="O110" s="360">
        <f t="shared" si="42"/>
        <v>0.78506559031281531</v>
      </c>
      <c r="P110" s="360">
        <f t="shared" si="42"/>
        <v>0.76103646833013439</v>
      </c>
      <c r="Q110" s="360">
        <f t="shared" si="42"/>
        <v>0.71925133689839571</v>
      </c>
      <c r="R110" s="360">
        <f t="shared" si="42"/>
        <v>0.68019884009942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343"/>
      <c r="F111" s="69"/>
      <c r="G111" s="18" t="s">
        <v>280</v>
      </c>
      <c r="H111" s="360" t="e">
        <f t="shared" ref="H111:R111" si="43">-(H58)/H15</f>
        <v>#DIV/0!</v>
      </c>
      <c r="I111" s="360" t="e">
        <f t="shared" si="43"/>
        <v>#DIV/0!</v>
      </c>
      <c r="J111" s="360">
        <f t="shared" si="43"/>
        <v>0</v>
      </c>
      <c r="K111" s="360">
        <f t="shared" si="43"/>
        <v>0.12739010492040523</v>
      </c>
      <c r="L111" s="360">
        <f t="shared" si="43"/>
        <v>0.17269668636611557</v>
      </c>
      <c r="M111" s="361">
        <f t="shared" si="43"/>
        <v>8.5999999999999993E-2</v>
      </c>
      <c r="N111" s="360">
        <f t="shared" si="43"/>
        <v>0.20802377414561665</v>
      </c>
      <c r="O111" s="360">
        <f t="shared" si="43"/>
        <v>6.4267352185089971E-2</v>
      </c>
      <c r="P111" s="360">
        <f t="shared" si="43"/>
        <v>6.3051702395964693E-2</v>
      </c>
      <c r="Q111" s="360">
        <f t="shared" si="43"/>
        <v>6.1957868649318466E-2</v>
      </c>
      <c r="R111" s="360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343"/>
      <c r="F112" s="69"/>
      <c r="G112" s="329" t="s">
        <v>284</v>
      </c>
      <c r="H112" s="349" t="e">
        <f t="shared" ref="H112:R112" si="44">H33/H4</f>
        <v>#DIV/0!</v>
      </c>
      <c r="I112" s="349" t="e">
        <f t="shared" si="44"/>
        <v>#DIV/0!</v>
      </c>
      <c r="J112" s="349">
        <f t="shared" si="44"/>
        <v>0</v>
      </c>
      <c r="K112" s="349">
        <f t="shared" si="44"/>
        <v>0.9099499164804008</v>
      </c>
      <c r="L112" s="349">
        <f t="shared" si="44"/>
        <v>1.3935108543563943</v>
      </c>
      <c r="M112" s="350">
        <f t="shared" si="44"/>
        <v>1.1578313253012049</v>
      </c>
      <c r="N112" s="349">
        <f t="shared" si="44"/>
        <v>0.9924324324324324</v>
      </c>
      <c r="O112" s="349">
        <f t="shared" si="44"/>
        <v>0.91725529767911196</v>
      </c>
      <c r="P112" s="349">
        <f t="shared" si="44"/>
        <v>0.87523992322456812</v>
      </c>
      <c r="Q112" s="349">
        <f t="shared" si="44"/>
        <v>0.8172905525846702</v>
      </c>
      <c r="R112" s="349">
        <f t="shared" si="44"/>
        <v>0.76387738193869092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343"/>
      <c r="F113" s="69"/>
      <c r="G113" s="186" t="s">
        <v>288</v>
      </c>
      <c r="H113" s="349" t="e">
        <f t="shared" ref="H113:R113" si="45">H33/H15</f>
        <v>#DIV/0!</v>
      </c>
      <c r="I113" s="349" t="e">
        <f t="shared" si="45"/>
        <v>#DIV/0!</v>
      </c>
      <c r="J113" s="349">
        <f t="shared" si="45"/>
        <v>0</v>
      </c>
      <c r="K113" s="349">
        <f t="shared" si="45"/>
        <v>1.4572223227206946</v>
      </c>
      <c r="L113" s="349">
        <f t="shared" si="45"/>
        <v>2.2440334774872683</v>
      </c>
      <c r="M113" s="350">
        <f t="shared" si="45"/>
        <v>1.9219999999999999</v>
      </c>
      <c r="N113" s="349">
        <f t="shared" si="45"/>
        <v>1.3640416047548292</v>
      </c>
      <c r="O113" s="349">
        <f t="shared" si="45"/>
        <v>1.1683804627249357</v>
      </c>
      <c r="P113" s="349">
        <f t="shared" si="45"/>
        <v>1.150063051702396</v>
      </c>
      <c r="Q113" s="349">
        <f t="shared" si="45"/>
        <v>1.1363073110285007</v>
      </c>
      <c r="R113" s="349">
        <f t="shared" si="45"/>
        <v>1.123020706455542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345">
        <v>0.5</v>
      </c>
      <c r="E114" s="345">
        <f>1/3</f>
        <v>0.33333333333333331</v>
      </c>
      <c r="F114" s="69"/>
      <c r="G114" s="18" t="s">
        <v>292</v>
      </c>
      <c r="H114" s="360" t="e">
        <f t="shared" ref="H114:R114" si="46">H27/H4</f>
        <v>#DIV/0!</v>
      </c>
      <c r="I114" s="360" t="e">
        <f t="shared" si="46"/>
        <v>#DIV/0!</v>
      </c>
      <c r="J114" s="360">
        <f t="shared" si="46"/>
        <v>1</v>
      </c>
      <c r="K114" s="360">
        <f t="shared" si="46"/>
        <v>0.74210164398764777</v>
      </c>
      <c r="L114" s="360">
        <f t="shared" si="46"/>
        <v>0.96855769560104576</v>
      </c>
      <c r="M114" s="361">
        <f t="shared" si="46"/>
        <v>0.96385542168674698</v>
      </c>
      <c r="N114" s="360">
        <f t="shared" si="46"/>
        <v>0.95783783783783782</v>
      </c>
      <c r="O114" s="360">
        <f t="shared" si="46"/>
        <v>0.95761856710393545</v>
      </c>
      <c r="P114" s="360">
        <f t="shared" si="46"/>
        <v>0.98080614203454897</v>
      </c>
      <c r="Q114" s="360">
        <f t="shared" si="46"/>
        <v>0.982174688057041</v>
      </c>
      <c r="R114" s="360">
        <f t="shared" si="46"/>
        <v>0.9834299917149959</v>
      </c>
    </row>
    <row r="115" spans="1:19" x14ac:dyDescent="0.2">
      <c r="A115" s="77"/>
      <c r="C115" s="77"/>
      <c r="D115" s="78"/>
      <c r="E115" s="79"/>
      <c r="F115" s="69"/>
      <c r="G115" s="326" t="s">
        <v>293</v>
      </c>
      <c r="H115" s="338">
        <f t="shared" ref="H115:R115" si="47">H109</f>
        <v>2011</v>
      </c>
      <c r="I115" s="338">
        <f t="shared" si="47"/>
        <v>2012</v>
      </c>
      <c r="J115" s="338">
        <f t="shared" si="47"/>
        <v>2013</v>
      </c>
      <c r="K115" s="338">
        <f t="shared" si="47"/>
        <v>2014</v>
      </c>
      <c r="L115" s="338">
        <f t="shared" si="47"/>
        <v>2015</v>
      </c>
      <c r="M115" s="339">
        <f t="shared" si="47"/>
        <v>2016</v>
      </c>
      <c r="N115" s="338">
        <f t="shared" si="47"/>
        <v>2017</v>
      </c>
      <c r="O115" s="338">
        <f t="shared" si="47"/>
        <v>2018</v>
      </c>
      <c r="P115" s="338">
        <f t="shared" si="47"/>
        <v>2019</v>
      </c>
      <c r="Q115" s="338">
        <f t="shared" si="47"/>
        <v>2020</v>
      </c>
      <c r="R115" s="338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345">
        <v>0.05</v>
      </c>
      <c r="G116" s="329" t="s">
        <v>297</v>
      </c>
      <c r="H116" s="347" t="e">
        <f t="shared" ref="H116:R116" si="48">H35/H33</f>
        <v>#DIV/0!</v>
      </c>
      <c r="I116" s="347" t="e">
        <f t="shared" si="48"/>
        <v>#DIV/0!</v>
      </c>
      <c r="J116" s="347" t="e">
        <f t="shared" si="48"/>
        <v>#DIV/0!</v>
      </c>
      <c r="K116" s="347">
        <f t="shared" si="48"/>
        <v>0.11778251572678379</v>
      </c>
      <c r="L116" s="347">
        <f t="shared" si="48"/>
        <v>0.13813397468925978</v>
      </c>
      <c r="M116" s="348">
        <f t="shared" si="48"/>
        <v>0.16857440166493237</v>
      </c>
      <c r="N116" s="347">
        <f t="shared" si="48"/>
        <v>0.17973856209150327</v>
      </c>
      <c r="O116" s="347">
        <f t="shared" si="48"/>
        <v>0.18371837183718373</v>
      </c>
      <c r="P116" s="347">
        <f t="shared" si="48"/>
        <v>0.18640350877192982</v>
      </c>
      <c r="Q116" s="347">
        <f t="shared" si="48"/>
        <v>0.19083969465648856</v>
      </c>
      <c r="R116" s="347">
        <f t="shared" si="48"/>
        <v>0.19522776572668113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345">
        <v>0.95</v>
      </c>
      <c r="G117" s="18" t="s">
        <v>301</v>
      </c>
      <c r="H117" s="360" t="e">
        <f t="shared" ref="H117:R117" si="49">(H36+H34)/H33</f>
        <v>#DIV/0!</v>
      </c>
      <c r="I117" s="360" t="e">
        <f t="shared" si="49"/>
        <v>#DIV/0!</v>
      </c>
      <c r="J117" s="360" t="e">
        <f t="shared" si="49"/>
        <v>#DIV/0!</v>
      </c>
      <c r="K117" s="360">
        <f t="shared" si="49"/>
        <v>0.88221748427321622</v>
      </c>
      <c r="L117" s="360">
        <f t="shared" si="49"/>
        <v>0.86186602531074019</v>
      </c>
      <c r="M117" s="361">
        <f t="shared" si="49"/>
        <v>0.83142559833506768</v>
      </c>
      <c r="N117" s="360">
        <f t="shared" si="49"/>
        <v>0.8202614379084967</v>
      </c>
      <c r="O117" s="360">
        <f t="shared" si="49"/>
        <v>0.81408140814081409</v>
      </c>
      <c r="P117" s="360">
        <f t="shared" si="49"/>
        <v>0.81140350877192979</v>
      </c>
      <c r="Q117" s="360">
        <f t="shared" si="49"/>
        <v>0.80697928026172305</v>
      </c>
      <c r="R117" s="360">
        <f t="shared" si="49"/>
        <v>0.8026030368763557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345">
        <v>0.95</v>
      </c>
      <c r="G118" s="186" t="s">
        <v>305</v>
      </c>
      <c r="H118" s="347">
        <f t="shared" ref="H118:R118" si="50">H38/(H38+H41)</f>
        <v>1</v>
      </c>
      <c r="I118" s="347">
        <f t="shared" si="50"/>
        <v>1</v>
      </c>
      <c r="J118" s="347">
        <f t="shared" si="50"/>
        <v>1</v>
      </c>
      <c r="K118" s="347">
        <f t="shared" si="50"/>
        <v>3.5318217136398955E-3</v>
      </c>
      <c r="L118" s="347">
        <f t="shared" si="50"/>
        <v>2.3215753281546725E-3</v>
      </c>
      <c r="M118" s="348">
        <f t="shared" si="50"/>
        <v>1.0810810810810811E-3</v>
      </c>
      <c r="N118" s="347">
        <f t="shared" si="50"/>
        <v>0</v>
      </c>
      <c r="O118" s="347">
        <f t="shared" si="50"/>
        <v>0</v>
      </c>
      <c r="P118" s="347">
        <f t="shared" si="50"/>
        <v>0</v>
      </c>
      <c r="Q118" s="347">
        <f t="shared" si="50"/>
        <v>0</v>
      </c>
      <c r="R118" s="347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326" t="s">
        <v>306</v>
      </c>
      <c r="H119" s="338">
        <f>H115</f>
        <v>2011</v>
      </c>
      <c r="I119" s="338">
        <f t="shared" ref="I119:R119" si="51">I115</f>
        <v>2012</v>
      </c>
      <c r="J119" s="338">
        <f t="shared" si="51"/>
        <v>2013</v>
      </c>
      <c r="K119" s="338">
        <f t="shared" si="51"/>
        <v>2014</v>
      </c>
      <c r="L119" s="338">
        <f t="shared" si="51"/>
        <v>2015</v>
      </c>
      <c r="M119" s="339">
        <f t="shared" si="51"/>
        <v>2016</v>
      </c>
      <c r="N119" s="338">
        <f t="shared" si="51"/>
        <v>2017</v>
      </c>
      <c r="O119" s="338">
        <f t="shared" si="51"/>
        <v>2018</v>
      </c>
      <c r="P119" s="338">
        <f t="shared" si="51"/>
        <v>2019</v>
      </c>
      <c r="Q119" s="338">
        <f t="shared" si="51"/>
        <v>2020</v>
      </c>
      <c r="R119" s="338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362">
        <v>0.5</v>
      </c>
      <c r="E120" s="363" t="s">
        <v>310</v>
      </c>
      <c r="F120" s="4"/>
      <c r="G120" s="329" t="s">
        <v>311</v>
      </c>
      <c r="H120" s="349" t="e">
        <f t="shared" ref="H120:R120" si="52">IF(H116&lt;$D$120,$E$120,H35/H4)</f>
        <v>#DIV/0!</v>
      </c>
      <c r="I120" s="349" t="e">
        <f t="shared" si="52"/>
        <v>#DIV/0!</v>
      </c>
      <c r="J120" s="349" t="e">
        <f t="shared" si="52"/>
        <v>#DIV/0!</v>
      </c>
      <c r="K120" s="349" t="str">
        <f t="shared" si="52"/>
        <v>N/A</v>
      </c>
      <c r="L120" s="349" t="str">
        <f t="shared" si="52"/>
        <v>N/A</v>
      </c>
      <c r="M120" s="350" t="str">
        <f t="shared" si="52"/>
        <v>N/A</v>
      </c>
      <c r="N120" s="349" t="str">
        <f t="shared" si="52"/>
        <v>N/A</v>
      </c>
      <c r="O120" s="349" t="str">
        <f t="shared" si="52"/>
        <v>N/A</v>
      </c>
      <c r="P120" s="349" t="str">
        <f t="shared" si="52"/>
        <v>N/A</v>
      </c>
      <c r="Q120" s="349" t="str">
        <f t="shared" si="52"/>
        <v>N/A</v>
      </c>
      <c r="R120" s="349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362">
        <v>0.5</v>
      </c>
      <c r="E121" s="363" t="s">
        <v>310</v>
      </c>
      <c r="F121" s="4"/>
      <c r="G121" s="18" t="s">
        <v>315</v>
      </c>
      <c r="H121" s="349" t="e">
        <f t="shared" ref="H121:R121" si="53">IF(H116&lt;$D$121,$E$121,H35/H15)</f>
        <v>#DIV/0!</v>
      </c>
      <c r="I121" s="349" t="e">
        <f t="shared" si="53"/>
        <v>#DIV/0!</v>
      </c>
      <c r="J121" s="349" t="e">
        <f t="shared" si="53"/>
        <v>#DIV/0!</v>
      </c>
      <c r="K121" s="349" t="str">
        <f t="shared" si="53"/>
        <v>N/A</v>
      </c>
      <c r="L121" s="349" t="str">
        <f t="shared" si="53"/>
        <v>N/A</v>
      </c>
      <c r="M121" s="350" t="str">
        <f t="shared" si="53"/>
        <v>N/A</v>
      </c>
      <c r="N121" s="349" t="str">
        <f t="shared" si="53"/>
        <v>N/A</v>
      </c>
      <c r="O121" s="349" t="str">
        <f t="shared" si="53"/>
        <v>N/A</v>
      </c>
      <c r="P121" s="349" t="str">
        <f t="shared" si="53"/>
        <v>N/A</v>
      </c>
      <c r="Q121" s="349" t="str">
        <f t="shared" si="53"/>
        <v>N/A</v>
      </c>
      <c r="R121" s="349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362">
        <v>0.5</v>
      </c>
      <c r="E122" s="363" t="s">
        <v>310</v>
      </c>
      <c r="F122" s="4"/>
      <c r="G122" s="329" t="s">
        <v>318</v>
      </c>
      <c r="H122" s="360" t="e">
        <f t="shared" ref="H122:R122" si="54">IF(H116&lt;$D$122,$E$122,H46/H33)</f>
        <v>#DIV/0!</v>
      </c>
      <c r="I122" s="360" t="e">
        <f t="shared" si="54"/>
        <v>#DIV/0!</v>
      </c>
      <c r="J122" s="360" t="e">
        <f t="shared" si="54"/>
        <v>#DIV/0!</v>
      </c>
      <c r="K122" s="360" t="str">
        <f t="shared" si="54"/>
        <v>N/A</v>
      </c>
      <c r="L122" s="360" t="str">
        <f t="shared" si="54"/>
        <v>N/A</v>
      </c>
      <c r="M122" s="361" t="str">
        <f t="shared" si="54"/>
        <v>N/A</v>
      </c>
      <c r="N122" s="360" t="str">
        <f t="shared" si="54"/>
        <v>N/A</v>
      </c>
      <c r="O122" s="360" t="str">
        <f t="shared" si="54"/>
        <v>N/A</v>
      </c>
      <c r="P122" s="360" t="str">
        <f t="shared" si="54"/>
        <v>N/A</v>
      </c>
      <c r="Q122" s="360" t="str">
        <f t="shared" si="54"/>
        <v>N/A</v>
      </c>
      <c r="R122" s="360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362">
        <v>0.5</v>
      </c>
      <c r="E123" s="363" t="s">
        <v>310</v>
      </c>
      <c r="F123" s="4"/>
      <c r="G123" s="18" t="s">
        <v>322</v>
      </c>
      <c r="H123" s="360" t="e">
        <f t="shared" ref="H123:R123" si="55">IF(H116&lt;$D$122,$E$123,H51/H33)</f>
        <v>#DIV/0!</v>
      </c>
      <c r="I123" s="360" t="e">
        <f t="shared" si="55"/>
        <v>#DIV/0!</v>
      </c>
      <c r="J123" s="360" t="e">
        <f t="shared" si="55"/>
        <v>#DIV/0!</v>
      </c>
      <c r="K123" s="360" t="str">
        <f t="shared" si="55"/>
        <v>N/A</v>
      </c>
      <c r="L123" s="360" t="str">
        <f t="shared" si="55"/>
        <v>N/A</v>
      </c>
      <c r="M123" s="361" t="str">
        <f t="shared" si="55"/>
        <v>N/A</v>
      </c>
      <c r="N123" s="360" t="str">
        <f t="shared" si="55"/>
        <v>N/A</v>
      </c>
      <c r="O123" s="360" t="str">
        <f t="shared" si="55"/>
        <v>N/A</v>
      </c>
      <c r="P123" s="360" t="str">
        <f t="shared" si="55"/>
        <v>N/A</v>
      </c>
      <c r="Q123" s="360" t="str">
        <f t="shared" si="55"/>
        <v>N/A</v>
      </c>
      <c r="R123" s="360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362">
        <v>0.5</v>
      </c>
      <c r="E124" s="363" t="s">
        <v>310</v>
      </c>
      <c r="F124" s="4"/>
      <c r="G124" s="18" t="s">
        <v>326</v>
      </c>
      <c r="H124" s="360" t="e">
        <f t="shared" ref="H124:R124" si="56">IF(H116&lt;$D$124,$E$124,H51/H4)</f>
        <v>#DIV/0!</v>
      </c>
      <c r="I124" s="360" t="e">
        <f t="shared" si="56"/>
        <v>#DIV/0!</v>
      </c>
      <c r="J124" s="360" t="e">
        <f t="shared" si="56"/>
        <v>#DIV/0!</v>
      </c>
      <c r="K124" s="360" t="str">
        <f t="shared" si="56"/>
        <v>N/A</v>
      </c>
      <c r="L124" s="360" t="str">
        <f t="shared" si="56"/>
        <v>N/A</v>
      </c>
      <c r="M124" s="361" t="str">
        <f t="shared" si="56"/>
        <v>N/A</v>
      </c>
      <c r="N124" s="360" t="str">
        <f t="shared" si="56"/>
        <v>N/A</v>
      </c>
      <c r="O124" s="360" t="str">
        <f t="shared" si="56"/>
        <v>N/A</v>
      </c>
      <c r="P124" s="360" t="str">
        <f t="shared" si="56"/>
        <v>N/A</v>
      </c>
      <c r="Q124" s="360" t="str">
        <f t="shared" si="56"/>
        <v>N/A</v>
      </c>
      <c r="R124" s="360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362">
        <v>0.5</v>
      </c>
      <c r="E125" s="363" t="s">
        <v>310</v>
      </c>
      <c r="F125" s="4"/>
      <c r="G125" s="186" t="s">
        <v>330</v>
      </c>
      <c r="H125" s="360" t="e">
        <f t="shared" ref="H125:R125" si="57">IF(H116&lt;$D$125,$E$125,H51/H27)</f>
        <v>#DIV/0!</v>
      </c>
      <c r="I125" s="360" t="e">
        <f t="shared" si="57"/>
        <v>#DIV/0!</v>
      </c>
      <c r="J125" s="360" t="e">
        <f t="shared" si="57"/>
        <v>#DIV/0!</v>
      </c>
      <c r="K125" s="360" t="str">
        <f t="shared" si="57"/>
        <v>N/A</v>
      </c>
      <c r="L125" s="360" t="str">
        <f t="shared" si="57"/>
        <v>N/A</v>
      </c>
      <c r="M125" s="361" t="str">
        <f t="shared" si="57"/>
        <v>N/A</v>
      </c>
      <c r="N125" s="360" t="str">
        <f t="shared" si="57"/>
        <v>N/A</v>
      </c>
      <c r="O125" s="360" t="str">
        <f t="shared" si="57"/>
        <v>N/A</v>
      </c>
      <c r="P125" s="360" t="str">
        <f t="shared" si="57"/>
        <v>N/A</v>
      </c>
      <c r="Q125" s="360" t="str">
        <f t="shared" si="57"/>
        <v>N/A</v>
      </c>
      <c r="R125" s="360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364"/>
      <c r="N126" s="16"/>
      <c r="O126" s="16"/>
      <c r="P126" s="16"/>
      <c r="Q126" s="16"/>
      <c r="R126" s="16"/>
      <c r="S126" s="16"/>
    </row>
    <row r="127" spans="1:19" x14ac:dyDescent="0.2">
      <c r="F127" s="4"/>
      <c r="H127" s="338">
        <f>H119</f>
        <v>2011</v>
      </c>
      <c r="I127" s="338">
        <f t="shared" ref="I127:R127" si="58">I119</f>
        <v>2012</v>
      </c>
      <c r="J127" s="338">
        <f t="shared" si="58"/>
        <v>2013</v>
      </c>
      <c r="K127" s="338">
        <f t="shared" si="58"/>
        <v>2014</v>
      </c>
      <c r="L127" s="338">
        <f t="shared" si="58"/>
        <v>2015</v>
      </c>
      <c r="M127" s="339">
        <f t="shared" si="58"/>
        <v>2016</v>
      </c>
      <c r="N127" s="338">
        <f t="shared" si="58"/>
        <v>2017</v>
      </c>
      <c r="O127" s="338">
        <f t="shared" si="58"/>
        <v>2018</v>
      </c>
      <c r="P127" s="338">
        <f t="shared" si="58"/>
        <v>2019</v>
      </c>
      <c r="Q127" s="338">
        <f t="shared" si="58"/>
        <v>2020</v>
      </c>
      <c r="R127" s="338">
        <f t="shared" si="58"/>
        <v>2021</v>
      </c>
    </row>
    <row r="128" spans="1:19" x14ac:dyDescent="0.2">
      <c r="G128" s="365" t="s">
        <v>331</v>
      </c>
      <c r="H128" s="366">
        <f t="shared" ref="H128:R128" si="59">H33</f>
        <v>0</v>
      </c>
      <c r="I128" s="366">
        <f t="shared" si="59"/>
        <v>0</v>
      </c>
      <c r="J128" s="366">
        <f t="shared" si="59"/>
        <v>0</v>
      </c>
      <c r="K128" s="366">
        <f t="shared" si="59"/>
        <v>644.44200000000001</v>
      </c>
      <c r="L128" s="366">
        <f t="shared" si="59"/>
        <v>1098.5060000000001</v>
      </c>
      <c r="M128" s="367">
        <f t="shared" si="59"/>
        <v>961</v>
      </c>
      <c r="N128" s="366">
        <f t="shared" si="59"/>
        <v>918</v>
      </c>
      <c r="O128" s="366">
        <f t="shared" si="59"/>
        <v>909</v>
      </c>
      <c r="P128" s="366">
        <f t="shared" si="59"/>
        <v>912</v>
      </c>
      <c r="Q128" s="366">
        <f t="shared" si="59"/>
        <v>917</v>
      </c>
      <c r="R128" s="366">
        <f t="shared" si="59"/>
        <v>922</v>
      </c>
    </row>
    <row r="129" spans="3:19" x14ac:dyDescent="0.2">
      <c r="G129" s="365" t="s">
        <v>332</v>
      </c>
      <c r="H129" s="366">
        <f t="shared" ref="H129:R130" si="60">H35</f>
        <v>0</v>
      </c>
      <c r="I129" s="366">
        <f t="shared" si="60"/>
        <v>0</v>
      </c>
      <c r="J129" s="366">
        <f t="shared" si="60"/>
        <v>0</v>
      </c>
      <c r="K129" s="366">
        <f t="shared" si="60"/>
        <v>75.903999999999996</v>
      </c>
      <c r="L129" s="366">
        <f t="shared" si="60"/>
        <v>151.74100000000001</v>
      </c>
      <c r="M129" s="367">
        <f t="shared" si="60"/>
        <v>162</v>
      </c>
      <c r="N129" s="366">
        <f t="shared" si="60"/>
        <v>165</v>
      </c>
      <c r="O129" s="366">
        <f t="shared" si="60"/>
        <v>167</v>
      </c>
      <c r="P129" s="366">
        <f t="shared" si="60"/>
        <v>170</v>
      </c>
      <c r="Q129" s="366">
        <f t="shared" si="60"/>
        <v>175</v>
      </c>
      <c r="R129" s="366">
        <f t="shared" si="60"/>
        <v>180</v>
      </c>
    </row>
    <row r="130" spans="3:19" x14ac:dyDescent="0.2">
      <c r="G130" s="365" t="s">
        <v>333</v>
      </c>
      <c r="H130" s="366">
        <f t="shared" si="60"/>
        <v>0</v>
      </c>
      <c r="I130" s="366">
        <f t="shared" si="60"/>
        <v>0</v>
      </c>
      <c r="J130" s="366">
        <f t="shared" si="60"/>
        <v>0</v>
      </c>
      <c r="K130" s="366">
        <f t="shared" si="60"/>
        <v>568.53800000000001</v>
      </c>
      <c r="L130" s="366">
        <f t="shared" si="60"/>
        <v>946.76499999999999</v>
      </c>
      <c r="M130" s="367">
        <f t="shared" si="60"/>
        <v>799</v>
      </c>
      <c r="N130" s="366">
        <f t="shared" si="60"/>
        <v>753</v>
      </c>
      <c r="O130" s="366">
        <f t="shared" si="60"/>
        <v>740</v>
      </c>
      <c r="P130" s="366">
        <f t="shared" si="60"/>
        <v>740</v>
      </c>
      <c r="Q130" s="366">
        <f t="shared" si="60"/>
        <v>740</v>
      </c>
      <c r="R130" s="366">
        <f t="shared" si="60"/>
        <v>740</v>
      </c>
    </row>
    <row r="131" spans="3:19" x14ac:dyDescent="0.2">
      <c r="G131" s="365" t="s">
        <v>334</v>
      </c>
      <c r="H131" s="366">
        <f t="shared" ref="H131:R131" si="61">H38+H41</f>
        <v>-0.128</v>
      </c>
      <c r="I131" s="366">
        <f t="shared" si="61"/>
        <v>-0.128</v>
      </c>
      <c r="J131" s="366">
        <f t="shared" si="61"/>
        <v>-0.128</v>
      </c>
      <c r="K131" s="366">
        <f t="shared" si="61"/>
        <v>-566.28</v>
      </c>
      <c r="L131" s="366">
        <f t="shared" si="61"/>
        <v>-861.48400000000004</v>
      </c>
      <c r="M131" s="367">
        <f t="shared" si="61"/>
        <v>-925</v>
      </c>
      <c r="N131" s="366">
        <f t="shared" si="61"/>
        <v>-832</v>
      </c>
      <c r="O131" s="366">
        <f t="shared" si="61"/>
        <v>-831</v>
      </c>
      <c r="P131" s="366">
        <f t="shared" si="61"/>
        <v>-832</v>
      </c>
      <c r="Q131" s="366">
        <f t="shared" si="61"/>
        <v>-832</v>
      </c>
      <c r="R131" s="366">
        <f t="shared" si="61"/>
        <v>-832</v>
      </c>
    </row>
    <row r="132" spans="3:19" x14ac:dyDescent="0.2">
      <c r="G132" s="365" t="s">
        <v>335</v>
      </c>
      <c r="H132" s="366">
        <f t="shared" ref="H132:R132" si="62">H41</f>
        <v>0</v>
      </c>
      <c r="I132" s="366">
        <f t="shared" si="62"/>
        <v>0</v>
      </c>
      <c r="J132" s="366">
        <f t="shared" si="62"/>
        <v>0</v>
      </c>
      <c r="K132" s="366">
        <f t="shared" si="62"/>
        <v>-564.28</v>
      </c>
      <c r="L132" s="366">
        <f t="shared" si="62"/>
        <v>-859.48400000000004</v>
      </c>
      <c r="M132" s="367">
        <f t="shared" si="62"/>
        <v>-924</v>
      </c>
      <c r="N132" s="366">
        <f t="shared" si="62"/>
        <v>-832</v>
      </c>
      <c r="O132" s="366">
        <f t="shared" si="62"/>
        <v>-831</v>
      </c>
      <c r="P132" s="366">
        <f t="shared" si="62"/>
        <v>-832</v>
      </c>
      <c r="Q132" s="366">
        <f t="shared" si="62"/>
        <v>-832</v>
      </c>
      <c r="R132" s="366">
        <f t="shared" si="62"/>
        <v>-832</v>
      </c>
    </row>
    <row r="133" spans="3:19" x14ac:dyDescent="0.2">
      <c r="G133" s="365" t="s">
        <v>336</v>
      </c>
      <c r="H133" s="366">
        <f t="shared" ref="H133:R133" si="63">H38</f>
        <v>-0.128</v>
      </c>
      <c r="I133" s="366">
        <f t="shared" si="63"/>
        <v>-0.128</v>
      </c>
      <c r="J133" s="366">
        <f t="shared" si="63"/>
        <v>-0.128</v>
      </c>
      <c r="K133" s="366">
        <f t="shared" si="63"/>
        <v>-2</v>
      </c>
      <c r="L133" s="366">
        <f t="shared" si="63"/>
        <v>-2</v>
      </c>
      <c r="M133" s="367">
        <f t="shared" si="63"/>
        <v>-1</v>
      </c>
      <c r="N133" s="366">
        <f t="shared" si="63"/>
        <v>0</v>
      </c>
      <c r="O133" s="366">
        <f t="shared" si="63"/>
        <v>0</v>
      </c>
      <c r="P133" s="366">
        <f t="shared" si="63"/>
        <v>0</v>
      </c>
      <c r="Q133" s="366">
        <f t="shared" si="63"/>
        <v>0</v>
      </c>
      <c r="R133" s="366">
        <f t="shared" si="63"/>
        <v>0</v>
      </c>
    </row>
    <row r="134" spans="3:19" x14ac:dyDescent="0.2">
      <c r="G134" s="365" t="s">
        <v>337</v>
      </c>
      <c r="H134" s="366">
        <f t="shared" ref="H134:R134" si="64">H46</f>
        <v>-0.128</v>
      </c>
      <c r="I134" s="366">
        <f t="shared" si="64"/>
        <v>-0.128</v>
      </c>
      <c r="J134" s="366">
        <f t="shared" si="64"/>
        <v>-0.128</v>
      </c>
      <c r="K134" s="366">
        <f t="shared" si="64"/>
        <v>78.162000000000035</v>
      </c>
      <c r="L134" s="366">
        <f t="shared" si="64"/>
        <v>237.02200000000005</v>
      </c>
      <c r="M134" s="367">
        <f t="shared" si="64"/>
        <v>36</v>
      </c>
      <c r="N134" s="366">
        <f t="shared" si="64"/>
        <v>86</v>
      </c>
      <c r="O134" s="366">
        <f t="shared" si="64"/>
        <v>78</v>
      </c>
      <c r="P134" s="366">
        <f t="shared" si="64"/>
        <v>80</v>
      </c>
      <c r="Q134" s="366">
        <f t="shared" si="64"/>
        <v>85</v>
      </c>
      <c r="R134" s="366">
        <f t="shared" si="64"/>
        <v>90</v>
      </c>
    </row>
    <row r="135" spans="3:19" x14ac:dyDescent="0.2">
      <c r="G135" s="365" t="s">
        <v>338</v>
      </c>
      <c r="H135" s="366">
        <f t="shared" ref="H135:R135" si="65">H51</f>
        <v>-0.128</v>
      </c>
      <c r="I135" s="366">
        <f t="shared" si="65"/>
        <v>-0.128</v>
      </c>
      <c r="J135" s="366">
        <f t="shared" si="65"/>
        <v>-0.129</v>
      </c>
      <c r="K135" s="366">
        <f t="shared" si="65"/>
        <v>78.162000000000035</v>
      </c>
      <c r="L135" s="366">
        <f t="shared" si="65"/>
        <v>238.02200000000005</v>
      </c>
      <c r="M135" s="367">
        <f t="shared" si="65"/>
        <v>36</v>
      </c>
      <c r="N135" s="366">
        <f t="shared" si="65"/>
        <v>86</v>
      </c>
      <c r="O135" s="366">
        <f t="shared" si="65"/>
        <v>78</v>
      </c>
      <c r="P135" s="366">
        <f t="shared" si="65"/>
        <v>80</v>
      </c>
      <c r="Q135" s="366">
        <f t="shared" si="65"/>
        <v>85</v>
      </c>
      <c r="R135" s="366">
        <f t="shared" si="65"/>
        <v>90</v>
      </c>
    </row>
    <row r="136" spans="3:19" x14ac:dyDescent="0.2">
      <c r="G136" s="365" t="s">
        <v>339</v>
      </c>
      <c r="H136" s="366">
        <f t="shared" ref="H136:R137" si="66">H4</f>
        <v>0</v>
      </c>
      <c r="I136" s="366">
        <f t="shared" si="66"/>
        <v>0</v>
      </c>
      <c r="J136" s="366">
        <f t="shared" si="66"/>
        <v>14.797000000000001</v>
      </c>
      <c r="K136" s="366">
        <f t="shared" si="66"/>
        <v>708.21699999999998</v>
      </c>
      <c r="L136" s="366">
        <f t="shared" si="66"/>
        <v>788.30100000000004</v>
      </c>
      <c r="M136" s="367">
        <f t="shared" si="66"/>
        <v>830</v>
      </c>
      <c r="N136" s="366">
        <f t="shared" si="66"/>
        <v>925</v>
      </c>
      <c r="O136" s="366">
        <f t="shared" si="66"/>
        <v>991</v>
      </c>
      <c r="P136" s="366">
        <f t="shared" si="66"/>
        <v>1042</v>
      </c>
      <c r="Q136" s="366">
        <f t="shared" si="66"/>
        <v>1122</v>
      </c>
      <c r="R136" s="366">
        <f t="shared" si="66"/>
        <v>1207</v>
      </c>
    </row>
    <row r="137" spans="3:19" x14ac:dyDescent="0.2">
      <c r="G137" s="365" t="s">
        <v>340</v>
      </c>
      <c r="H137" s="366">
        <f t="shared" si="66"/>
        <v>0</v>
      </c>
      <c r="I137" s="366">
        <f t="shared" si="66"/>
        <v>0</v>
      </c>
      <c r="J137" s="366">
        <f t="shared" si="66"/>
        <v>0</v>
      </c>
      <c r="K137" s="366">
        <f t="shared" si="66"/>
        <v>265.97699999999998</v>
      </c>
      <c r="L137" s="366">
        <f t="shared" si="66"/>
        <v>298.77800000000002</v>
      </c>
      <c r="M137" s="367">
        <f t="shared" si="66"/>
        <v>330</v>
      </c>
      <c r="N137" s="366">
        <f t="shared" si="66"/>
        <v>252</v>
      </c>
      <c r="O137" s="366">
        <f t="shared" si="66"/>
        <v>213</v>
      </c>
      <c r="P137" s="366">
        <f t="shared" si="66"/>
        <v>249</v>
      </c>
      <c r="Q137" s="366">
        <f t="shared" si="66"/>
        <v>315</v>
      </c>
      <c r="R137" s="366">
        <f t="shared" si="66"/>
        <v>386</v>
      </c>
    </row>
    <row r="138" spans="3:19" x14ac:dyDescent="0.2">
      <c r="G138" s="365" t="s">
        <v>341</v>
      </c>
      <c r="H138" s="366">
        <f t="shared" ref="H138:R138" si="67">H10</f>
        <v>0</v>
      </c>
      <c r="I138" s="366">
        <f t="shared" si="67"/>
        <v>0</v>
      </c>
      <c r="J138" s="366">
        <f t="shared" si="67"/>
        <v>14.797000000000001</v>
      </c>
      <c r="K138" s="366">
        <f t="shared" si="67"/>
        <v>442.24</v>
      </c>
      <c r="L138" s="366">
        <f t="shared" si="67"/>
        <v>489.52300000000002</v>
      </c>
      <c r="M138" s="367">
        <f t="shared" si="67"/>
        <v>500</v>
      </c>
      <c r="N138" s="366">
        <f t="shared" si="67"/>
        <v>673</v>
      </c>
      <c r="O138" s="366">
        <f t="shared" si="67"/>
        <v>778</v>
      </c>
      <c r="P138" s="366">
        <f t="shared" si="67"/>
        <v>793</v>
      </c>
      <c r="Q138" s="366">
        <f t="shared" si="67"/>
        <v>807</v>
      </c>
      <c r="R138" s="366">
        <f t="shared" si="67"/>
        <v>821</v>
      </c>
    </row>
    <row r="139" spans="3:19" x14ac:dyDescent="0.2">
      <c r="G139" s="365" t="s">
        <v>342</v>
      </c>
      <c r="H139" s="366">
        <f t="shared" ref="H139:R140" si="68">H19</f>
        <v>0</v>
      </c>
      <c r="I139" s="366">
        <f t="shared" si="68"/>
        <v>0</v>
      </c>
      <c r="J139" s="366">
        <f t="shared" si="68"/>
        <v>0</v>
      </c>
      <c r="K139" s="366">
        <f t="shared" si="68"/>
        <v>182.649</v>
      </c>
      <c r="L139" s="366">
        <f t="shared" si="68"/>
        <v>24.786000000000001</v>
      </c>
      <c r="M139" s="367">
        <f t="shared" si="68"/>
        <v>30</v>
      </c>
      <c r="N139" s="366">
        <f t="shared" si="68"/>
        <v>39</v>
      </c>
      <c r="O139" s="366">
        <f t="shared" si="68"/>
        <v>42</v>
      </c>
      <c r="P139" s="366">
        <f t="shared" si="68"/>
        <v>20</v>
      </c>
      <c r="Q139" s="366">
        <f t="shared" si="68"/>
        <v>20</v>
      </c>
      <c r="R139" s="366">
        <f t="shared" si="68"/>
        <v>20</v>
      </c>
    </row>
    <row r="140" spans="3:19" x14ac:dyDescent="0.2">
      <c r="G140" s="365" t="s">
        <v>343</v>
      </c>
      <c r="H140" s="366">
        <f t="shared" si="68"/>
        <v>0</v>
      </c>
      <c r="I140" s="366">
        <f t="shared" si="68"/>
        <v>0</v>
      </c>
      <c r="J140" s="366">
        <f t="shared" si="68"/>
        <v>0</v>
      </c>
      <c r="K140" s="366">
        <f t="shared" si="68"/>
        <v>182.649</v>
      </c>
      <c r="L140" s="366">
        <f t="shared" si="68"/>
        <v>24.786000000000001</v>
      </c>
      <c r="M140" s="367">
        <f t="shared" si="68"/>
        <v>24</v>
      </c>
      <c r="N140" s="366">
        <f t="shared" si="68"/>
        <v>39</v>
      </c>
      <c r="O140" s="366">
        <f t="shared" si="68"/>
        <v>42</v>
      </c>
      <c r="P140" s="366">
        <f t="shared" si="68"/>
        <v>20</v>
      </c>
      <c r="Q140" s="366">
        <f t="shared" si="68"/>
        <v>20</v>
      </c>
      <c r="R140" s="366">
        <f t="shared" si="68"/>
        <v>20</v>
      </c>
    </row>
    <row r="141" spans="3:19" x14ac:dyDescent="0.2">
      <c r="G141" s="365" t="s">
        <v>344</v>
      </c>
      <c r="H141" s="366">
        <f t="shared" ref="H141:R141" si="69">H24</f>
        <v>0</v>
      </c>
      <c r="I141" s="366">
        <f t="shared" si="69"/>
        <v>0</v>
      </c>
      <c r="J141" s="366">
        <f t="shared" si="69"/>
        <v>0</v>
      </c>
      <c r="K141" s="366">
        <f t="shared" si="69"/>
        <v>0</v>
      </c>
      <c r="L141" s="366">
        <f t="shared" si="69"/>
        <v>0</v>
      </c>
      <c r="M141" s="367">
        <f t="shared" si="69"/>
        <v>0</v>
      </c>
      <c r="N141" s="366">
        <f t="shared" si="69"/>
        <v>0</v>
      </c>
      <c r="O141" s="366">
        <f t="shared" si="69"/>
        <v>0</v>
      </c>
      <c r="P141" s="366">
        <f t="shared" si="69"/>
        <v>0</v>
      </c>
      <c r="Q141" s="366">
        <f t="shared" si="69"/>
        <v>0</v>
      </c>
      <c r="R141" s="366">
        <f t="shared" si="69"/>
        <v>0</v>
      </c>
    </row>
    <row r="142" spans="3:19" x14ac:dyDescent="0.2">
      <c r="G142" s="365" t="s">
        <v>345</v>
      </c>
      <c r="H142" s="366">
        <f t="shared" ref="H142:R142" si="70">H27</f>
        <v>0</v>
      </c>
      <c r="I142" s="366">
        <f t="shared" si="70"/>
        <v>0</v>
      </c>
      <c r="J142" s="366">
        <f t="shared" si="70"/>
        <v>14.797000000000001</v>
      </c>
      <c r="K142" s="366">
        <f t="shared" si="70"/>
        <v>525.56899999999996</v>
      </c>
      <c r="L142" s="366">
        <f t="shared" si="70"/>
        <v>763.51499999999999</v>
      </c>
      <c r="M142" s="367">
        <f t="shared" si="70"/>
        <v>800</v>
      </c>
      <c r="N142" s="366">
        <f t="shared" si="70"/>
        <v>886</v>
      </c>
      <c r="O142" s="366">
        <f t="shared" si="70"/>
        <v>949</v>
      </c>
      <c r="P142" s="366">
        <f t="shared" si="70"/>
        <v>1022</v>
      </c>
      <c r="Q142" s="366">
        <f t="shared" si="70"/>
        <v>1102</v>
      </c>
      <c r="R142" s="366">
        <f t="shared" si="70"/>
        <v>1187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364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364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36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36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369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370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159" priority="51" stopIfTrue="1" operator="greaterThan">
      <formula>$E$116</formula>
    </cfRule>
    <cfRule type="cellIs" dxfId="1158" priority="52" stopIfTrue="1" operator="lessThanOrEqual">
      <formula>$E$116</formula>
    </cfRule>
  </conditionalFormatting>
  <conditionalFormatting sqref="H118:Q118">
    <cfRule type="cellIs" dxfId="1157" priority="49" stopIfTrue="1" operator="lessThanOrEqual">
      <formula>$E$118</formula>
    </cfRule>
    <cfRule type="cellIs" dxfId="1156" priority="50" stopIfTrue="1" operator="greaterThan">
      <formula>$E$118</formula>
    </cfRule>
  </conditionalFormatting>
  <conditionalFormatting sqref="H99:Q99">
    <cfRule type="cellIs" dxfId="1155" priority="47" operator="greaterThan">
      <formula>$E$99</formula>
    </cfRule>
    <cfRule type="cellIs" dxfId="1154" priority="48" operator="lessThanOrEqual">
      <formula>$E$99</formula>
    </cfRule>
  </conditionalFormatting>
  <conditionalFormatting sqref="H102:Q102">
    <cfRule type="cellIs" dxfId="1153" priority="45" stopIfTrue="1" operator="greaterThanOrEqual">
      <formula>$E$102</formula>
    </cfRule>
    <cfRule type="cellIs" dxfId="1152" priority="46" stopIfTrue="1" operator="lessThan">
      <formula>$E$102</formula>
    </cfRule>
  </conditionalFormatting>
  <conditionalFormatting sqref="H104:Q104">
    <cfRule type="cellIs" dxfId="1151" priority="43" stopIfTrue="1" operator="lessThan">
      <formula>$E$104</formula>
    </cfRule>
    <cfRule type="cellIs" dxfId="1150" priority="44" stopIfTrue="1" operator="greaterThanOrEqual">
      <formula>$E$104</formula>
    </cfRule>
  </conditionalFormatting>
  <conditionalFormatting sqref="H103:Q103">
    <cfRule type="cellIs" dxfId="1149" priority="41" stopIfTrue="1" operator="greaterThan">
      <formula>$E$103</formula>
    </cfRule>
    <cfRule type="cellIs" dxfId="1148" priority="42" stopIfTrue="1" operator="lessThanOrEqual">
      <formula>$E$103</formula>
    </cfRule>
  </conditionalFormatting>
  <conditionalFormatting sqref="H100:Q100">
    <cfRule type="cellIs" dxfId="1147" priority="30" stopIfTrue="1" operator="between">
      <formula>$D$100</formula>
      <formula>$E$100</formula>
    </cfRule>
    <cfRule type="cellIs" dxfId="1146" priority="39" stopIfTrue="1" operator="lessThanOrEqual">
      <formula>$D$100</formula>
    </cfRule>
    <cfRule type="cellIs" dxfId="1145" priority="40" stopIfTrue="1" operator="greaterThan">
      <formula>$E$100</formula>
    </cfRule>
  </conditionalFormatting>
  <conditionalFormatting sqref="H117:Q117">
    <cfRule type="cellIs" dxfId="1144" priority="37" stopIfTrue="1" operator="greaterThan">
      <formula>$E$117</formula>
    </cfRule>
    <cfRule type="cellIs" dxfId="1143" priority="38" stopIfTrue="1" operator="lessThanOrEqual">
      <formula>$E$117</formula>
    </cfRule>
  </conditionalFormatting>
  <conditionalFormatting sqref="H107:Q107">
    <cfRule type="cellIs" dxfId="1142" priority="35" stopIfTrue="1" operator="greaterThan">
      <formula>$E$107</formula>
    </cfRule>
    <cfRule type="cellIs" dxfId="1141" priority="36" stopIfTrue="1" operator="lessThanOrEqual">
      <formula>$E$107</formula>
    </cfRule>
  </conditionalFormatting>
  <conditionalFormatting sqref="H108:Q108">
    <cfRule type="cellIs" dxfId="1140" priority="33" stopIfTrue="1" operator="lessThan">
      <formula>$E$108</formula>
    </cfRule>
    <cfRule type="cellIs" dxfId="1139" priority="34" stopIfTrue="1" operator="greaterThanOrEqual">
      <formula>$E$108</formula>
    </cfRule>
  </conditionalFormatting>
  <conditionalFormatting sqref="H93:Q93">
    <cfRule type="cellIs" dxfId="1138" priority="53" stopIfTrue="1" operator="lessThan">
      <formula>$D$93</formula>
    </cfRule>
    <cfRule type="cellIs" dxfId="1137" priority="54" stopIfTrue="1" operator="between">
      <formula>$D$93</formula>
      <formula>$E$93</formula>
    </cfRule>
    <cfRule type="cellIs" dxfId="1136" priority="55" stopIfTrue="1" operator="greaterThan">
      <formula>$E$93</formula>
    </cfRule>
  </conditionalFormatting>
  <conditionalFormatting sqref="H114:Q114">
    <cfRule type="cellIs" dxfId="1135" priority="56" stopIfTrue="1" operator="lessThan">
      <formula>$E$114</formula>
    </cfRule>
    <cfRule type="cellIs" dxfId="1134" priority="57" stopIfTrue="1" operator="between">
      <formula>$D$114</formula>
      <formula>$E$114</formula>
    </cfRule>
    <cfRule type="cellIs" dxfId="1133" priority="58" stopIfTrue="1" operator="greaterThanOrEqual">
      <formula>$D$114</formula>
    </cfRule>
  </conditionalFormatting>
  <conditionalFormatting sqref="H90:Q90">
    <cfRule type="cellIs" dxfId="1132" priority="31" stopIfTrue="1" operator="lessThan">
      <formula>$E$90</formula>
    </cfRule>
    <cfRule type="cellIs" dxfId="1131" priority="32" stopIfTrue="1" operator="greaterThan">
      <formula>$E$90</formula>
    </cfRule>
  </conditionalFormatting>
  <conditionalFormatting sqref="R116">
    <cfRule type="cellIs" dxfId="1130" priority="22" stopIfTrue="1" operator="greaterThan">
      <formula>$E$116</formula>
    </cfRule>
    <cfRule type="cellIs" dxfId="1129" priority="23" stopIfTrue="1" operator="lessThanOrEqual">
      <formula>$E$116</formula>
    </cfRule>
  </conditionalFormatting>
  <conditionalFormatting sqref="R118">
    <cfRule type="cellIs" dxfId="1128" priority="20" stopIfTrue="1" operator="lessThanOrEqual">
      <formula>$E$118</formula>
    </cfRule>
    <cfRule type="cellIs" dxfId="1127" priority="21" stopIfTrue="1" operator="greaterThan">
      <formula>$E$118</formula>
    </cfRule>
  </conditionalFormatting>
  <conditionalFormatting sqref="R99">
    <cfRule type="cellIs" dxfId="1126" priority="18" operator="greaterThan">
      <formula>$E$99</formula>
    </cfRule>
    <cfRule type="cellIs" dxfId="1125" priority="19" operator="lessThanOrEqual">
      <formula>$E$99</formula>
    </cfRule>
  </conditionalFormatting>
  <conditionalFormatting sqref="R102">
    <cfRule type="cellIs" dxfId="1124" priority="16" stopIfTrue="1" operator="greaterThanOrEqual">
      <formula>$E$102</formula>
    </cfRule>
    <cfRule type="cellIs" dxfId="1123" priority="17" stopIfTrue="1" operator="lessThan">
      <formula>$E$102</formula>
    </cfRule>
  </conditionalFormatting>
  <conditionalFormatting sqref="R104">
    <cfRule type="cellIs" dxfId="1122" priority="14" stopIfTrue="1" operator="lessThan">
      <formula>$E$104</formula>
    </cfRule>
    <cfRule type="cellIs" dxfId="1121" priority="15" stopIfTrue="1" operator="greaterThanOrEqual">
      <formula>$E$104</formula>
    </cfRule>
  </conditionalFormatting>
  <conditionalFormatting sqref="R103">
    <cfRule type="cellIs" dxfId="1120" priority="12" stopIfTrue="1" operator="greaterThan">
      <formula>$E$103</formula>
    </cfRule>
    <cfRule type="cellIs" dxfId="1119" priority="13" stopIfTrue="1" operator="lessThanOrEqual">
      <formula>$E$103</formula>
    </cfRule>
  </conditionalFormatting>
  <conditionalFormatting sqref="R100">
    <cfRule type="cellIs" dxfId="1118" priority="1" stopIfTrue="1" operator="between">
      <formula>$D$100</formula>
      <formula>$E$100</formula>
    </cfRule>
    <cfRule type="cellIs" dxfId="1117" priority="10" stopIfTrue="1" operator="lessThanOrEqual">
      <formula>$D$100</formula>
    </cfRule>
    <cfRule type="cellIs" dxfId="1116" priority="11" stopIfTrue="1" operator="greaterThan">
      <formula>$E$100</formula>
    </cfRule>
  </conditionalFormatting>
  <conditionalFormatting sqref="R117">
    <cfRule type="cellIs" dxfId="1115" priority="8" stopIfTrue="1" operator="greaterThan">
      <formula>$E$117</formula>
    </cfRule>
    <cfRule type="cellIs" dxfId="1114" priority="9" stopIfTrue="1" operator="lessThanOrEqual">
      <formula>$E$117</formula>
    </cfRule>
  </conditionalFormatting>
  <conditionalFormatting sqref="R107">
    <cfRule type="cellIs" dxfId="1113" priority="6" stopIfTrue="1" operator="greaterThan">
      <formula>$E$107</formula>
    </cfRule>
    <cfRule type="cellIs" dxfId="1112" priority="7" stopIfTrue="1" operator="lessThanOrEqual">
      <formula>$E$107</formula>
    </cfRule>
  </conditionalFormatting>
  <conditionalFormatting sqref="R108">
    <cfRule type="cellIs" dxfId="1111" priority="4" stopIfTrue="1" operator="lessThan">
      <formula>$E$108</formula>
    </cfRule>
    <cfRule type="cellIs" dxfId="1110" priority="5" stopIfTrue="1" operator="greaterThanOrEqual">
      <formula>$E$108</formula>
    </cfRule>
  </conditionalFormatting>
  <conditionalFormatting sqref="R93">
    <cfRule type="cellIs" dxfId="1109" priority="24" stopIfTrue="1" operator="lessThan">
      <formula>$D$93</formula>
    </cfRule>
    <cfRule type="cellIs" dxfId="1108" priority="25" stopIfTrue="1" operator="between">
      <formula>$D$93</formula>
      <formula>$E$93</formula>
    </cfRule>
    <cfRule type="cellIs" dxfId="1107" priority="26" stopIfTrue="1" operator="greaterThan">
      <formula>$E$93</formula>
    </cfRule>
  </conditionalFormatting>
  <conditionalFormatting sqref="R114">
    <cfRule type="cellIs" dxfId="1106" priority="27" stopIfTrue="1" operator="lessThan">
      <formula>$E$114</formula>
    </cfRule>
    <cfRule type="cellIs" dxfId="1105" priority="28" stopIfTrue="1" operator="between">
      <formula>$D$114</formula>
      <formula>$E$114</formula>
    </cfRule>
    <cfRule type="cellIs" dxfId="1104" priority="29" stopIfTrue="1" operator="greaterThanOrEqual">
      <formula>$D$114</formula>
    </cfRule>
  </conditionalFormatting>
  <conditionalFormatting sqref="R90">
    <cfRule type="cellIs" dxfId="1103" priority="2" stopIfTrue="1" operator="lessThan">
      <formula>$E$90</formula>
    </cfRule>
    <cfRule type="cellIs" dxfId="1102" priority="3" stopIfTrue="1" operator="greaterThan">
      <formula>$E$90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18.5703125" style="48" customWidth="1"/>
    <col min="8" max="12" width="8.7109375" style="4" customWidth="1"/>
    <col min="13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18.5703125" style="4" customWidth="1"/>
    <col min="264" max="268" width="8.7109375" style="4" customWidth="1"/>
    <col min="269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18.5703125" style="4" customWidth="1"/>
    <col min="520" max="524" width="8.7109375" style="4" customWidth="1"/>
    <col min="525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18.5703125" style="4" customWidth="1"/>
    <col min="776" max="780" width="8.7109375" style="4" customWidth="1"/>
    <col min="781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18.5703125" style="4" customWidth="1"/>
    <col min="1032" max="1036" width="8.7109375" style="4" customWidth="1"/>
    <col min="1037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18.5703125" style="4" customWidth="1"/>
    <col min="1288" max="1292" width="8.7109375" style="4" customWidth="1"/>
    <col min="1293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18.5703125" style="4" customWidth="1"/>
    <col min="1544" max="1548" width="8.7109375" style="4" customWidth="1"/>
    <col min="1549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18.5703125" style="4" customWidth="1"/>
    <col min="1800" max="1804" width="8.7109375" style="4" customWidth="1"/>
    <col min="1805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18.5703125" style="4" customWidth="1"/>
    <col min="2056" max="2060" width="8.7109375" style="4" customWidth="1"/>
    <col min="2061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18.5703125" style="4" customWidth="1"/>
    <col min="2312" max="2316" width="8.7109375" style="4" customWidth="1"/>
    <col min="2317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18.5703125" style="4" customWidth="1"/>
    <col min="2568" max="2572" width="8.7109375" style="4" customWidth="1"/>
    <col min="2573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18.5703125" style="4" customWidth="1"/>
    <col min="2824" max="2828" width="8.7109375" style="4" customWidth="1"/>
    <col min="2829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18.5703125" style="4" customWidth="1"/>
    <col min="3080" max="3084" width="8.7109375" style="4" customWidth="1"/>
    <col min="3085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18.5703125" style="4" customWidth="1"/>
    <col min="3336" max="3340" width="8.7109375" style="4" customWidth="1"/>
    <col min="3341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18.5703125" style="4" customWidth="1"/>
    <col min="3592" max="3596" width="8.7109375" style="4" customWidth="1"/>
    <col min="3597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18.5703125" style="4" customWidth="1"/>
    <col min="3848" max="3852" width="8.7109375" style="4" customWidth="1"/>
    <col min="3853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18.5703125" style="4" customWidth="1"/>
    <col min="4104" max="4108" width="8.7109375" style="4" customWidth="1"/>
    <col min="4109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18.5703125" style="4" customWidth="1"/>
    <col min="4360" max="4364" width="8.7109375" style="4" customWidth="1"/>
    <col min="4365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18.5703125" style="4" customWidth="1"/>
    <col min="4616" max="4620" width="8.7109375" style="4" customWidth="1"/>
    <col min="4621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18.5703125" style="4" customWidth="1"/>
    <col min="4872" max="4876" width="8.7109375" style="4" customWidth="1"/>
    <col min="4877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18.5703125" style="4" customWidth="1"/>
    <col min="5128" max="5132" width="8.7109375" style="4" customWidth="1"/>
    <col min="5133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18.5703125" style="4" customWidth="1"/>
    <col min="5384" max="5388" width="8.7109375" style="4" customWidth="1"/>
    <col min="5389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18.5703125" style="4" customWidth="1"/>
    <col min="5640" max="5644" width="8.7109375" style="4" customWidth="1"/>
    <col min="5645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18.5703125" style="4" customWidth="1"/>
    <col min="5896" max="5900" width="8.7109375" style="4" customWidth="1"/>
    <col min="5901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18.5703125" style="4" customWidth="1"/>
    <col min="6152" max="6156" width="8.7109375" style="4" customWidth="1"/>
    <col min="6157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18.5703125" style="4" customWidth="1"/>
    <col min="6408" max="6412" width="8.7109375" style="4" customWidth="1"/>
    <col min="6413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18.5703125" style="4" customWidth="1"/>
    <col min="6664" max="6668" width="8.7109375" style="4" customWidth="1"/>
    <col min="6669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18.5703125" style="4" customWidth="1"/>
    <col min="6920" max="6924" width="8.7109375" style="4" customWidth="1"/>
    <col min="6925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18.5703125" style="4" customWidth="1"/>
    <col min="7176" max="7180" width="8.7109375" style="4" customWidth="1"/>
    <col min="7181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18.5703125" style="4" customWidth="1"/>
    <col min="7432" max="7436" width="8.7109375" style="4" customWidth="1"/>
    <col min="7437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18.5703125" style="4" customWidth="1"/>
    <col min="7688" max="7692" width="8.7109375" style="4" customWidth="1"/>
    <col min="7693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18.5703125" style="4" customWidth="1"/>
    <col min="7944" max="7948" width="8.7109375" style="4" customWidth="1"/>
    <col min="7949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18.5703125" style="4" customWidth="1"/>
    <col min="8200" max="8204" width="8.7109375" style="4" customWidth="1"/>
    <col min="8205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18.5703125" style="4" customWidth="1"/>
    <col min="8456" max="8460" width="8.7109375" style="4" customWidth="1"/>
    <col min="8461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18.5703125" style="4" customWidth="1"/>
    <col min="8712" max="8716" width="8.7109375" style="4" customWidth="1"/>
    <col min="8717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18.5703125" style="4" customWidth="1"/>
    <col min="8968" max="8972" width="8.7109375" style="4" customWidth="1"/>
    <col min="8973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18.5703125" style="4" customWidth="1"/>
    <col min="9224" max="9228" width="8.7109375" style="4" customWidth="1"/>
    <col min="9229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18.5703125" style="4" customWidth="1"/>
    <col min="9480" max="9484" width="8.7109375" style="4" customWidth="1"/>
    <col min="9485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18.5703125" style="4" customWidth="1"/>
    <col min="9736" max="9740" width="8.7109375" style="4" customWidth="1"/>
    <col min="9741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18.5703125" style="4" customWidth="1"/>
    <col min="9992" max="9996" width="8.7109375" style="4" customWidth="1"/>
    <col min="9997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18.5703125" style="4" customWidth="1"/>
    <col min="10248" max="10252" width="8.7109375" style="4" customWidth="1"/>
    <col min="10253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18.5703125" style="4" customWidth="1"/>
    <col min="10504" max="10508" width="8.7109375" style="4" customWidth="1"/>
    <col min="10509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18.5703125" style="4" customWidth="1"/>
    <col min="10760" max="10764" width="8.7109375" style="4" customWidth="1"/>
    <col min="10765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18.5703125" style="4" customWidth="1"/>
    <col min="11016" max="11020" width="8.7109375" style="4" customWidth="1"/>
    <col min="11021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18.5703125" style="4" customWidth="1"/>
    <col min="11272" max="11276" width="8.7109375" style="4" customWidth="1"/>
    <col min="11277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18.5703125" style="4" customWidth="1"/>
    <col min="11528" max="11532" width="8.7109375" style="4" customWidth="1"/>
    <col min="11533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18.5703125" style="4" customWidth="1"/>
    <col min="11784" max="11788" width="8.7109375" style="4" customWidth="1"/>
    <col min="11789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18.5703125" style="4" customWidth="1"/>
    <col min="12040" max="12044" width="8.7109375" style="4" customWidth="1"/>
    <col min="12045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18.5703125" style="4" customWidth="1"/>
    <col min="12296" max="12300" width="8.7109375" style="4" customWidth="1"/>
    <col min="12301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18.5703125" style="4" customWidth="1"/>
    <col min="12552" max="12556" width="8.7109375" style="4" customWidth="1"/>
    <col min="12557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18.5703125" style="4" customWidth="1"/>
    <col min="12808" max="12812" width="8.7109375" style="4" customWidth="1"/>
    <col min="12813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18.5703125" style="4" customWidth="1"/>
    <col min="13064" max="13068" width="8.7109375" style="4" customWidth="1"/>
    <col min="13069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18.5703125" style="4" customWidth="1"/>
    <col min="13320" max="13324" width="8.7109375" style="4" customWidth="1"/>
    <col min="13325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18.5703125" style="4" customWidth="1"/>
    <col min="13576" max="13580" width="8.7109375" style="4" customWidth="1"/>
    <col min="13581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18.5703125" style="4" customWidth="1"/>
    <col min="13832" max="13836" width="8.7109375" style="4" customWidth="1"/>
    <col min="13837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18.5703125" style="4" customWidth="1"/>
    <col min="14088" max="14092" width="8.7109375" style="4" customWidth="1"/>
    <col min="14093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18.5703125" style="4" customWidth="1"/>
    <col min="14344" max="14348" width="8.7109375" style="4" customWidth="1"/>
    <col min="14349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18.5703125" style="4" customWidth="1"/>
    <col min="14600" max="14604" width="8.7109375" style="4" customWidth="1"/>
    <col min="14605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18.5703125" style="4" customWidth="1"/>
    <col min="14856" max="14860" width="8.7109375" style="4" customWidth="1"/>
    <col min="14861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18.5703125" style="4" customWidth="1"/>
    <col min="15112" max="15116" width="8.7109375" style="4" customWidth="1"/>
    <col min="15117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18.5703125" style="4" customWidth="1"/>
    <col min="15368" max="15372" width="8.7109375" style="4" customWidth="1"/>
    <col min="15373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18.5703125" style="4" customWidth="1"/>
    <col min="15624" max="15628" width="8.7109375" style="4" customWidth="1"/>
    <col min="15629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18.5703125" style="4" customWidth="1"/>
    <col min="15880" max="15884" width="8.7109375" style="4" customWidth="1"/>
    <col min="15885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18.5703125" style="4" customWidth="1"/>
    <col min="16136" max="16140" width="8.7109375" style="4" customWidth="1"/>
    <col min="16141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371" t="s">
        <v>443</v>
      </c>
      <c r="H2" s="372" t="s">
        <v>509</v>
      </c>
      <c r="I2" s="373"/>
      <c r="J2" s="374"/>
      <c r="K2" s="1239" t="s">
        <v>6</v>
      </c>
      <c r="L2" s="1240"/>
      <c r="M2" s="1241" t="s">
        <v>444</v>
      </c>
      <c r="N2" s="1242"/>
      <c r="O2" s="1242"/>
      <c r="P2" s="1242"/>
      <c r="Q2" s="1242"/>
      <c r="R2" s="1243"/>
    </row>
    <row r="3" spans="1:18" x14ac:dyDescent="0.2">
      <c r="A3" s="1"/>
      <c r="B3" s="10"/>
      <c r="C3" s="3"/>
      <c r="D3" s="3"/>
      <c r="E3" s="1"/>
      <c r="F3" s="1"/>
      <c r="G3" s="375" t="s">
        <v>7</v>
      </c>
      <c r="H3" s="376">
        <v>40908</v>
      </c>
      <c r="I3" s="376">
        <v>41274</v>
      </c>
      <c r="J3" s="376">
        <v>41639</v>
      </c>
      <c r="K3" s="376">
        <v>42004</v>
      </c>
      <c r="L3" s="376">
        <v>42369</v>
      </c>
      <c r="M3" s="376">
        <v>42735</v>
      </c>
      <c r="N3" s="376">
        <v>43100</v>
      </c>
      <c r="O3" s="376">
        <v>43465</v>
      </c>
      <c r="P3" s="376">
        <v>43830</v>
      </c>
      <c r="Q3" s="376">
        <v>44196</v>
      </c>
      <c r="R3" s="376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377" t="s">
        <v>9</v>
      </c>
      <c r="H4" s="378">
        <f t="shared" ref="H4:R4" si="0">H5+H10</f>
        <v>5470.7099999999991</v>
      </c>
      <c r="I4" s="378">
        <f t="shared" si="0"/>
        <v>5534.2809999999999</v>
      </c>
      <c r="J4" s="378">
        <f t="shared" si="0"/>
        <v>6558.21</v>
      </c>
      <c r="K4" s="378">
        <f t="shared" si="0"/>
        <v>10148.743</v>
      </c>
      <c r="L4" s="378">
        <f t="shared" si="0"/>
        <v>10111.896000000001</v>
      </c>
      <c r="M4" s="378">
        <f t="shared" si="0"/>
        <v>10570.076000000001</v>
      </c>
      <c r="N4" s="378">
        <f t="shared" si="0"/>
        <v>10269</v>
      </c>
      <c r="O4" s="378">
        <f t="shared" si="0"/>
        <v>10355</v>
      </c>
      <c r="P4" s="378">
        <f t="shared" si="0"/>
        <v>19380</v>
      </c>
      <c r="Q4" s="378">
        <f t="shared" si="0"/>
        <v>29235</v>
      </c>
      <c r="R4" s="378">
        <f t="shared" si="0"/>
        <v>29464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378">
        <f t="shared" ref="H5:Q5" si="1">SUM(H6:H9)</f>
        <v>645.06100000000004</v>
      </c>
      <c r="I5" s="378">
        <f t="shared" si="1"/>
        <v>627.298</v>
      </c>
      <c r="J5" s="378">
        <f t="shared" si="1"/>
        <v>689.21699999999998</v>
      </c>
      <c r="K5" s="378">
        <f t="shared" si="1"/>
        <v>916.06399999999996</v>
      </c>
      <c r="L5" s="378">
        <f t="shared" si="1"/>
        <v>854.40599999999995</v>
      </c>
      <c r="M5" s="378">
        <f t="shared" si="1"/>
        <v>1246.4760000000001</v>
      </c>
      <c r="N5" s="378">
        <f t="shared" si="1"/>
        <v>721</v>
      </c>
      <c r="O5" s="378">
        <f t="shared" si="1"/>
        <v>435</v>
      </c>
      <c r="P5" s="378">
        <f t="shared" si="1"/>
        <v>335</v>
      </c>
      <c r="Q5" s="378">
        <f t="shared" si="1"/>
        <v>425</v>
      </c>
      <c r="R5" s="378">
        <f>SUM(R6:R9)</f>
        <v>699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379">
        <v>283.04000000000002</v>
      </c>
      <c r="I6" s="379">
        <v>226.77500000000001</v>
      </c>
      <c r="J6" s="379">
        <v>274.524</v>
      </c>
      <c r="K6" s="379">
        <v>665.37599999999998</v>
      </c>
      <c r="L6" s="379">
        <v>731.53599999999994</v>
      </c>
      <c r="M6" s="379">
        <v>1118.4760000000001</v>
      </c>
      <c r="N6" s="379">
        <v>531</v>
      </c>
      <c r="O6" s="379">
        <v>245</v>
      </c>
      <c r="P6" s="379">
        <v>145</v>
      </c>
      <c r="Q6" s="379">
        <v>235</v>
      </c>
      <c r="R6" s="379">
        <v>509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379">
        <v>331.012</v>
      </c>
      <c r="I7" s="379">
        <v>355.62599999999998</v>
      </c>
      <c r="J7" s="379">
        <v>372.81400000000002</v>
      </c>
      <c r="K7" s="379">
        <v>189.15600000000001</v>
      </c>
      <c r="L7" s="379">
        <v>53.661999999999999</v>
      </c>
      <c r="M7" s="379">
        <v>51</v>
      </c>
      <c r="N7" s="379">
        <v>100</v>
      </c>
      <c r="O7" s="379">
        <v>100</v>
      </c>
      <c r="P7" s="379">
        <v>100</v>
      </c>
      <c r="Q7" s="379">
        <v>100</v>
      </c>
      <c r="R7" s="379">
        <v>100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379">
        <v>0</v>
      </c>
      <c r="I8" s="379">
        <v>0</v>
      </c>
      <c r="J8" s="379">
        <v>0</v>
      </c>
      <c r="K8" s="379">
        <v>0</v>
      </c>
      <c r="L8" s="379">
        <v>0</v>
      </c>
      <c r="M8" s="379">
        <v>0</v>
      </c>
      <c r="N8" s="379">
        <v>0</v>
      </c>
      <c r="O8" s="379">
        <v>0</v>
      </c>
      <c r="P8" s="379">
        <v>0</v>
      </c>
      <c r="Q8" s="379">
        <v>0</v>
      </c>
      <c r="R8" s="379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379">
        <v>31.009</v>
      </c>
      <c r="I9" s="379">
        <v>44.896999999999998</v>
      </c>
      <c r="J9" s="379">
        <v>41.878999999999998</v>
      </c>
      <c r="K9" s="379">
        <v>61.531999999999996</v>
      </c>
      <c r="L9" s="379">
        <v>69.207999999999998</v>
      </c>
      <c r="M9" s="379">
        <v>77</v>
      </c>
      <c r="N9" s="379">
        <v>90</v>
      </c>
      <c r="O9" s="379">
        <v>90</v>
      </c>
      <c r="P9" s="379">
        <v>90</v>
      </c>
      <c r="Q9" s="379">
        <v>90</v>
      </c>
      <c r="R9" s="379">
        <v>90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378">
        <f>SUM(H11:H16)</f>
        <v>4825.6489999999994</v>
      </c>
      <c r="I10" s="378">
        <f t="shared" ref="I10:R10" si="2">SUM(I11:I16)</f>
        <v>4906.9830000000002</v>
      </c>
      <c r="J10" s="378">
        <f t="shared" si="2"/>
        <v>5868.9930000000004</v>
      </c>
      <c r="K10" s="378">
        <f t="shared" si="2"/>
        <v>9232.6790000000001</v>
      </c>
      <c r="L10" s="378">
        <f t="shared" si="2"/>
        <v>9257.49</v>
      </c>
      <c r="M10" s="378">
        <f t="shared" si="2"/>
        <v>9323.6</v>
      </c>
      <c r="N10" s="378">
        <f t="shared" si="2"/>
        <v>9548</v>
      </c>
      <c r="O10" s="378">
        <f t="shared" si="2"/>
        <v>9920</v>
      </c>
      <c r="P10" s="378">
        <f t="shared" si="2"/>
        <v>19045</v>
      </c>
      <c r="Q10" s="378">
        <f t="shared" si="2"/>
        <v>28810</v>
      </c>
      <c r="R10" s="378">
        <f t="shared" si="2"/>
        <v>28765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379">
        <v>0</v>
      </c>
      <c r="I11" s="379">
        <v>0</v>
      </c>
      <c r="J11" s="379">
        <v>0</v>
      </c>
      <c r="K11" s="379">
        <v>0</v>
      </c>
      <c r="L11" s="379">
        <v>0</v>
      </c>
      <c r="M11" s="379">
        <v>0</v>
      </c>
      <c r="N11" s="379">
        <v>0</v>
      </c>
      <c r="O11" s="379">
        <v>0</v>
      </c>
      <c r="P11" s="379">
        <v>0</v>
      </c>
      <c r="Q11" s="379">
        <v>0</v>
      </c>
      <c r="R11" s="379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379">
        <v>0</v>
      </c>
      <c r="I12" s="379">
        <v>0</v>
      </c>
      <c r="J12" s="379">
        <v>0</v>
      </c>
      <c r="K12" s="379">
        <v>0</v>
      </c>
      <c r="L12" s="379">
        <v>0</v>
      </c>
      <c r="M12" s="379">
        <v>0</v>
      </c>
      <c r="N12" s="379">
        <v>0</v>
      </c>
      <c r="O12" s="379">
        <v>0</v>
      </c>
      <c r="P12" s="379">
        <v>0</v>
      </c>
      <c r="Q12" s="379">
        <v>0</v>
      </c>
      <c r="R12" s="379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379">
        <v>0</v>
      </c>
      <c r="I13" s="379">
        <v>0</v>
      </c>
      <c r="J13" s="379">
        <v>0</v>
      </c>
      <c r="K13" s="379">
        <v>0</v>
      </c>
      <c r="L13" s="379">
        <v>0</v>
      </c>
      <c r="M13" s="379">
        <v>0</v>
      </c>
      <c r="N13" s="379">
        <v>0</v>
      </c>
      <c r="O13" s="379">
        <v>0</v>
      </c>
      <c r="P13" s="379">
        <v>0</v>
      </c>
      <c r="Q13" s="379">
        <v>0</v>
      </c>
      <c r="R13" s="379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379">
        <v>174.434</v>
      </c>
      <c r="I14" s="379">
        <v>174.434</v>
      </c>
      <c r="J14" s="379">
        <v>174.434</v>
      </c>
      <c r="K14" s="379">
        <v>0</v>
      </c>
      <c r="L14" s="379">
        <v>0</v>
      </c>
      <c r="M14" s="379">
        <v>0</v>
      </c>
      <c r="N14" s="379">
        <v>0</v>
      </c>
      <c r="O14" s="379">
        <v>0</v>
      </c>
      <c r="P14" s="379">
        <v>0</v>
      </c>
      <c r="Q14" s="379">
        <v>0</v>
      </c>
      <c r="R14" s="379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379">
        <f>4643.659+5</f>
        <v>4648.6589999999997</v>
      </c>
      <c r="I15" s="379">
        <f>4713.449+13</f>
        <v>4726.4489999999996</v>
      </c>
      <c r="J15" s="379">
        <f>1615.1+19.372+4019.529+38.458</f>
        <v>5692.4589999999998</v>
      </c>
      <c r="K15" s="379">
        <f>9176.515+51.564</f>
        <v>9228.0789999999997</v>
      </c>
      <c r="L15" s="379">
        <f>9207.098+45.792</f>
        <v>9252.89</v>
      </c>
      <c r="M15" s="379">
        <v>9319</v>
      </c>
      <c r="N15" s="379">
        <v>9543</v>
      </c>
      <c r="O15" s="379">
        <v>9915</v>
      </c>
      <c r="P15" s="379">
        <v>19040</v>
      </c>
      <c r="Q15" s="379">
        <v>28805</v>
      </c>
      <c r="R15" s="379">
        <v>28760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379">
        <v>2.556</v>
      </c>
      <c r="I16" s="379">
        <v>6.1</v>
      </c>
      <c r="J16" s="379">
        <v>2.1</v>
      </c>
      <c r="K16" s="379">
        <v>4.5999999999999996</v>
      </c>
      <c r="L16" s="379">
        <v>4.5999999999999996</v>
      </c>
      <c r="M16" s="379">
        <v>4.5999999999999996</v>
      </c>
      <c r="N16" s="379">
        <v>5</v>
      </c>
      <c r="O16" s="379">
        <v>5</v>
      </c>
      <c r="P16" s="379">
        <v>5</v>
      </c>
      <c r="Q16" s="379">
        <v>5</v>
      </c>
      <c r="R16" s="379">
        <v>5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380">
        <v>0</v>
      </c>
      <c r="I17" s="380">
        <v>0</v>
      </c>
      <c r="J17" s="380">
        <v>0</v>
      </c>
      <c r="K17" s="380"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380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378">
        <f>H19+H27</f>
        <v>5470.7110000000002</v>
      </c>
      <c r="I18" s="378">
        <f t="shared" ref="I18:R18" si="3">I19+I27</f>
        <v>5534.28</v>
      </c>
      <c r="J18" s="378">
        <f t="shared" si="3"/>
        <v>6558.2100000000009</v>
      </c>
      <c r="K18" s="378">
        <f t="shared" si="3"/>
        <v>10148.743</v>
      </c>
      <c r="L18" s="378">
        <f t="shared" si="3"/>
        <v>10111.895</v>
      </c>
      <c r="M18" s="378">
        <f t="shared" si="3"/>
        <v>10569.705000000002</v>
      </c>
      <c r="N18" s="378">
        <f t="shared" si="3"/>
        <v>10269</v>
      </c>
      <c r="O18" s="378">
        <f t="shared" si="3"/>
        <v>10355</v>
      </c>
      <c r="P18" s="378">
        <f t="shared" si="3"/>
        <v>19380</v>
      </c>
      <c r="Q18" s="378">
        <f t="shared" si="3"/>
        <v>29235</v>
      </c>
      <c r="R18" s="378">
        <f t="shared" si="3"/>
        <v>29464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378">
        <f>SUM(H21:H26)</f>
        <v>367.60700000000003</v>
      </c>
      <c r="I19" s="378">
        <f t="shared" ref="I19:R19" si="4">SUM(I21:I26)</f>
        <v>375.49400000000003</v>
      </c>
      <c r="J19" s="378">
        <f t="shared" si="4"/>
        <v>905.02700000000004</v>
      </c>
      <c r="K19" s="378">
        <f t="shared" si="4"/>
        <v>469.47300000000001</v>
      </c>
      <c r="L19" s="378">
        <f t="shared" si="4"/>
        <v>499.16900000000004</v>
      </c>
      <c r="M19" s="378">
        <f t="shared" si="4"/>
        <v>533</v>
      </c>
      <c r="N19" s="378">
        <f t="shared" si="4"/>
        <v>322</v>
      </c>
      <c r="O19" s="378">
        <f t="shared" si="4"/>
        <v>345</v>
      </c>
      <c r="P19" s="378">
        <f t="shared" si="4"/>
        <v>433</v>
      </c>
      <c r="Q19" s="378">
        <f t="shared" si="4"/>
        <v>433</v>
      </c>
      <c r="R19" s="378">
        <f t="shared" si="4"/>
        <v>433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381">
        <v>367.60700000000003</v>
      </c>
      <c r="I20" s="381">
        <v>375.495</v>
      </c>
      <c r="J20" s="381">
        <v>905.02700000000004</v>
      </c>
      <c r="K20" s="381">
        <v>442.358</v>
      </c>
      <c r="L20" s="381">
        <v>476.54599999999999</v>
      </c>
      <c r="M20" s="381">
        <v>515</v>
      </c>
      <c r="N20" s="381">
        <v>316</v>
      </c>
      <c r="O20" s="381">
        <v>339</v>
      </c>
      <c r="P20" s="381">
        <v>433</v>
      </c>
      <c r="Q20" s="381">
        <v>433</v>
      </c>
      <c r="R20" s="381">
        <v>433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379">
        <v>367.60700000000003</v>
      </c>
      <c r="I21" s="379">
        <f>59.59+11.712+178.207</f>
        <v>249.50900000000001</v>
      </c>
      <c r="J21" s="379">
        <v>905.02700000000004</v>
      </c>
      <c r="K21" s="379">
        <f>60.228+14.973+362.827</f>
        <v>438.02800000000002</v>
      </c>
      <c r="L21" s="379">
        <f>84.285+34.037+353.732</f>
        <v>472.05400000000003</v>
      </c>
      <c r="M21" s="379">
        <v>510</v>
      </c>
      <c r="N21" s="379">
        <v>304</v>
      </c>
      <c r="O21" s="379">
        <v>332</v>
      </c>
      <c r="P21" s="379">
        <v>433</v>
      </c>
      <c r="Q21" s="379">
        <v>433</v>
      </c>
      <c r="R21" s="379">
        <v>433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379">
        <v>0</v>
      </c>
      <c r="I22" s="379">
        <v>0</v>
      </c>
      <c r="J22" s="379">
        <v>0</v>
      </c>
      <c r="K22" s="379">
        <v>0</v>
      </c>
      <c r="L22" s="379">
        <v>0</v>
      </c>
      <c r="M22" s="379">
        <v>0</v>
      </c>
      <c r="N22" s="379">
        <v>0</v>
      </c>
      <c r="O22" s="379">
        <v>0</v>
      </c>
      <c r="P22" s="379">
        <v>0</v>
      </c>
      <c r="Q22" s="379">
        <v>0</v>
      </c>
      <c r="R22" s="379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379">
        <v>0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0</v>
      </c>
      <c r="O23" s="379">
        <v>0</v>
      </c>
      <c r="P23" s="379">
        <v>0</v>
      </c>
      <c r="Q23" s="379">
        <v>0</v>
      </c>
      <c r="R23" s="379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379">
        <v>0</v>
      </c>
      <c r="I24" s="379">
        <v>125.985</v>
      </c>
      <c r="J24" s="379">
        <v>0</v>
      </c>
      <c r="K24" s="379">
        <f>4.33+27.115</f>
        <v>31.445</v>
      </c>
      <c r="L24" s="379">
        <f>4.491+22.624</f>
        <v>27.114999999999998</v>
      </c>
      <c r="M24" s="379">
        <v>23</v>
      </c>
      <c r="N24" s="379">
        <v>18</v>
      </c>
      <c r="O24" s="379">
        <v>13</v>
      </c>
      <c r="P24" s="379">
        <v>0</v>
      </c>
      <c r="Q24" s="379">
        <v>0</v>
      </c>
      <c r="R24" s="379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379">
        <v>0</v>
      </c>
      <c r="I25" s="379">
        <v>0</v>
      </c>
      <c r="J25" s="379">
        <v>0</v>
      </c>
      <c r="K25" s="379">
        <v>0</v>
      </c>
      <c r="L25" s="379">
        <v>0</v>
      </c>
      <c r="M25" s="379">
        <v>0</v>
      </c>
      <c r="N25" s="379">
        <v>0</v>
      </c>
      <c r="O25" s="379">
        <v>0</v>
      </c>
      <c r="P25" s="379">
        <v>0</v>
      </c>
      <c r="Q25" s="379">
        <v>0</v>
      </c>
      <c r="R25" s="379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379">
        <v>0</v>
      </c>
      <c r="I26" s="379">
        <v>0</v>
      </c>
      <c r="J26" s="379">
        <v>0</v>
      </c>
      <c r="K26" s="379">
        <v>0</v>
      </c>
      <c r="L26" s="379">
        <v>0</v>
      </c>
      <c r="M26" s="379">
        <v>0</v>
      </c>
      <c r="N26" s="379">
        <v>0</v>
      </c>
      <c r="O26" s="379">
        <v>0</v>
      </c>
      <c r="P26" s="379">
        <v>0</v>
      </c>
      <c r="Q26" s="379">
        <v>0</v>
      </c>
      <c r="R26" s="379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378">
        <f>SUM(H28:H30)</f>
        <v>5103.1040000000003</v>
      </c>
      <c r="I27" s="378">
        <f t="shared" ref="I27:R27" si="5">SUM(I28:I30)</f>
        <v>5158.7860000000001</v>
      </c>
      <c r="J27" s="378">
        <f t="shared" si="5"/>
        <v>5653.1830000000009</v>
      </c>
      <c r="K27" s="378">
        <f t="shared" si="5"/>
        <v>9679.27</v>
      </c>
      <c r="L27" s="378">
        <f t="shared" si="5"/>
        <v>9612.7260000000006</v>
      </c>
      <c r="M27" s="378">
        <f t="shared" si="5"/>
        <v>10036.705000000002</v>
      </c>
      <c r="N27" s="378">
        <f t="shared" si="5"/>
        <v>9947</v>
      </c>
      <c r="O27" s="378">
        <f t="shared" si="5"/>
        <v>10010</v>
      </c>
      <c r="P27" s="378">
        <f t="shared" si="5"/>
        <v>18947</v>
      </c>
      <c r="Q27" s="378">
        <f t="shared" si="5"/>
        <v>28802</v>
      </c>
      <c r="R27" s="378">
        <f t="shared" si="5"/>
        <v>29031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379">
        <f>5103.104</f>
        <v>5103.1040000000003</v>
      </c>
      <c r="I28" s="379">
        <v>5158.7860000000001</v>
      </c>
      <c r="J28" s="379">
        <f>1551.217+4101.966</f>
        <v>5653.1830000000009</v>
      </c>
      <c r="K28" s="379">
        <v>5184.799</v>
      </c>
      <c r="L28" s="379">
        <v>5184.799</v>
      </c>
      <c r="M28" s="379">
        <v>5184.7790000000005</v>
      </c>
      <c r="N28" s="379">
        <v>5185</v>
      </c>
      <c r="O28" s="379">
        <v>5185</v>
      </c>
      <c r="P28" s="379">
        <v>5185</v>
      </c>
      <c r="Q28" s="379">
        <v>5185</v>
      </c>
      <c r="R28" s="379">
        <v>5185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379">
        <v>762.55399999999997</v>
      </c>
      <c r="I29" s="379">
        <v>835.005</v>
      </c>
      <c r="J29" s="379">
        <v>938.28899999999999</v>
      </c>
      <c r="K29" s="379">
        <v>3361.3609999999999</v>
      </c>
      <c r="L29" s="379">
        <v>4494.4709999999995</v>
      </c>
      <c r="M29" s="379">
        <v>4427.9260000000004</v>
      </c>
      <c r="N29" s="379">
        <v>4852</v>
      </c>
      <c r="O29" s="379">
        <v>4762</v>
      </c>
      <c r="P29" s="379">
        <v>4825</v>
      </c>
      <c r="Q29" s="379">
        <v>13762</v>
      </c>
      <c r="R29" s="379">
        <v>23617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379">
        <v>-762.55399999999997</v>
      </c>
      <c r="I30" s="379">
        <v>-835.005</v>
      </c>
      <c r="J30" s="379">
        <v>-938.28899999999999</v>
      </c>
      <c r="K30" s="379">
        <v>1133.1099999999999</v>
      </c>
      <c r="L30" s="379">
        <v>-66.543999999999997</v>
      </c>
      <c r="M30" s="379">
        <v>424</v>
      </c>
      <c r="N30" s="379">
        <v>-90</v>
      </c>
      <c r="O30" s="379">
        <v>63</v>
      </c>
      <c r="P30" s="379">
        <v>8937</v>
      </c>
      <c r="Q30" s="379">
        <v>9855</v>
      </c>
      <c r="R30" s="379">
        <v>229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382">
        <f t="shared" ref="H31:R31" si="6">H4-H18</f>
        <v>-1.0000000011132215E-3</v>
      </c>
      <c r="I31" s="382">
        <f t="shared" si="6"/>
        <v>1.0000000002037268E-3</v>
      </c>
      <c r="J31" s="382">
        <f t="shared" si="6"/>
        <v>0</v>
      </c>
      <c r="K31" s="382">
        <f t="shared" si="6"/>
        <v>0</v>
      </c>
      <c r="L31" s="382">
        <f t="shared" si="6"/>
        <v>1.0000000002037268E-3</v>
      </c>
      <c r="M31" s="382">
        <f t="shared" si="6"/>
        <v>0.37099999999918509</v>
      </c>
      <c r="N31" s="382">
        <f t="shared" si="6"/>
        <v>0</v>
      </c>
      <c r="O31" s="382">
        <f t="shared" si="6"/>
        <v>0</v>
      </c>
      <c r="P31" s="382">
        <f t="shared" si="6"/>
        <v>0</v>
      </c>
      <c r="Q31" s="382">
        <f t="shared" si="6"/>
        <v>0</v>
      </c>
      <c r="R31" s="382">
        <f t="shared" si="6"/>
        <v>0</v>
      </c>
      <c r="S31" s="4"/>
    </row>
    <row r="32" spans="1:19" x14ac:dyDescent="0.2">
      <c r="G32" s="375" t="s">
        <v>78</v>
      </c>
      <c r="H32" s="383">
        <v>2011</v>
      </c>
      <c r="I32" s="383">
        <f t="shared" ref="I32:R32" si="7">H32+1</f>
        <v>2012</v>
      </c>
      <c r="J32" s="383">
        <f t="shared" si="7"/>
        <v>2013</v>
      </c>
      <c r="K32" s="383">
        <f t="shared" si="7"/>
        <v>2014</v>
      </c>
      <c r="L32" s="383">
        <f t="shared" si="7"/>
        <v>2015</v>
      </c>
      <c r="M32" s="383">
        <f t="shared" si="7"/>
        <v>2016</v>
      </c>
      <c r="N32" s="383">
        <f t="shared" si="7"/>
        <v>2017</v>
      </c>
      <c r="O32" s="383">
        <f t="shared" si="7"/>
        <v>2018</v>
      </c>
      <c r="P32" s="383">
        <f t="shared" si="7"/>
        <v>2019</v>
      </c>
      <c r="Q32" s="383">
        <f t="shared" si="7"/>
        <v>2020</v>
      </c>
      <c r="R32" s="383">
        <f t="shared" si="7"/>
        <v>2021</v>
      </c>
    </row>
    <row r="33" spans="1:18" x14ac:dyDescent="0.2">
      <c r="B33" s="2" t="s">
        <v>79</v>
      </c>
      <c r="C33" s="19">
        <v>3</v>
      </c>
      <c r="G33" s="377" t="s">
        <v>80</v>
      </c>
      <c r="H33" s="378">
        <f>SUM(H34:H37)</f>
        <v>1217.1079999999999</v>
      </c>
      <c r="I33" s="378">
        <f t="shared" ref="I33:R33" si="8">SUM(I34:I37)</f>
        <v>1475.4299999999998</v>
      </c>
      <c r="J33" s="378">
        <f t="shared" si="8"/>
        <v>1515.2719999999999</v>
      </c>
      <c r="K33" s="378">
        <f t="shared" si="8"/>
        <v>3683.7730000000001</v>
      </c>
      <c r="L33" s="378">
        <f t="shared" si="8"/>
        <v>2742.181</v>
      </c>
      <c r="M33" s="378">
        <f t="shared" si="8"/>
        <v>3343.2469999999998</v>
      </c>
      <c r="N33" s="378">
        <f t="shared" si="8"/>
        <v>3134</v>
      </c>
      <c r="O33" s="378">
        <f t="shared" si="8"/>
        <v>3542</v>
      </c>
      <c r="P33" s="378">
        <f t="shared" si="8"/>
        <v>12691</v>
      </c>
      <c r="Q33" s="378">
        <f t="shared" si="8"/>
        <v>13833</v>
      </c>
      <c r="R33" s="378">
        <f t="shared" si="8"/>
        <v>4455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379">
        <v>0</v>
      </c>
      <c r="I34" s="379">
        <v>0</v>
      </c>
      <c r="J34" s="379">
        <v>0</v>
      </c>
      <c r="K34" s="379">
        <v>0</v>
      </c>
      <c r="L34" s="379">
        <v>0</v>
      </c>
      <c r="M34" s="379">
        <v>0</v>
      </c>
      <c r="N34" s="379">
        <v>0</v>
      </c>
      <c r="O34" s="379">
        <v>0</v>
      </c>
      <c r="P34" s="379">
        <v>0</v>
      </c>
      <c r="Q34" s="379">
        <v>0</v>
      </c>
      <c r="R34" s="379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379">
        <v>856.79399999999998</v>
      </c>
      <c r="I35" s="379">
        <v>837.94399999999996</v>
      </c>
      <c r="J35" s="379">
        <v>896.048</v>
      </c>
      <c r="K35" s="379">
        <v>921.20899999999995</v>
      </c>
      <c r="L35" s="379">
        <v>961.14</v>
      </c>
      <c r="M35" s="379">
        <v>1147</v>
      </c>
      <c r="N35" s="379">
        <v>1129</v>
      </c>
      <c r="O35" s="379">
        <v>1242</v>
      </c>
      <c r="P35" s="379">
        <v>1366</v>
      </c>
      <c r="Q35" s="379">
        <v>1503</v>
      </c>
      <c r="R35" s="379">
        <v>1653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379">
        <v>360.31400000000002</v>
      </c>
      <c r="I36" s="379">
        <v>637.48599999999999</v>
      </c>
      <c r="J36" s="379">
        <f>0.591+618.633</f>
        <v>619.22400000000005</v>
      </c>
      <c r="K36" s="379">
        <v>2749.2550000000001</v>
      </c>
      <c r="L36" s="379">
        <v>1780.65</v>
      </c>
      <c r="M36" s="379">
        <v>2196</v>
      </c>
      <c r="N36" s="379">
        <v>2005</v>
      </c>
      <c r="O36" s="379">
        <v>2300</v>
      </c>
      <c r="P36" s="379">
        <v>11325</v>
      </c>
      <c r="Q36" s="379">
        <v>12330</v>
      </c>
      <c r="R36" s="379">
        <v>2802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379">
        <v>0</v>
      </c>
      <c r="I37" s="379">
        <v>0</v>
      </c>
      <c r="J37" s="379">
        <v>0</v>
      </c>
      <c r="K37" s="379">
        <v>13.308999999999999</v>
      </c>
      <c r="L37" s="379">
        <v>0.39100000000000001</v>
      </c>
      <c r="M37" s="379">
        <v>0.247</v>
      </c>
      <c r="N37" s="379">
        <v>0</v>
      </c>
      <c r="O37" s="379">
        <v>0</v>
      </c>
      <c r="P37" s="379">
        <v>0</v>
      </c>
      <c r="Q37" s="379">
        <v>0</v>
      </c>
      <c r="R37" s="379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378">
        <f>H39+H40</f>
        <v>-118.113</v>
      </c>
      <c r="I38" s="378">
        <f t="shared" ref="I38:R38" si="9">I39+I40</f>
        <v>-353.58300000000003</v>
      </c>
      <c r="J38" s="378">
        <f t="shared" si="9"/>
        <v>-474.488</v>
      </c>
      <c r="K38" s="378">
        <f t="shared" si="9"/>
        <v>-180.15</v>
      </c>
      <c r="L38" s="378">
        <f t="shared" si="9"/>
        <v>-9.3970000000000002</v>
      </c>
      <c r="M38" s="378">
        <f t="shared" si="9"/>
        <v>0</v>
      </c>
      <c r="N38" s="378">
        <f t="shared" si="9"/>
        <v>0</v>
      </c>
      <c r="O38" s="378">
        <f t="shared" si="9"/>
        <v>0</v>
      </c>
      <c r="P38" s="378">
        <f t="shared" si="9"/>
        <v>0</v>
      </c>
      <c r="Q38" s="378">
        <f t="shared" si="9"/>
        <v>0</v>
      </c>
      <c r="R38" s="378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379">
        <v>0</v>
      </c>
      <c r="I39" s="379">
        <v>0</v>
      </c>
      <c r="J39" s="379">
        <v>0</v>
      </c>
      <c r="K39" s="379">
        <v>0</v>
      </c>
      <c r="L39" s="379">
        <v>0</v>
      </c>
      <c r="M39" s="379">
        <v>0</v>
      </c>
      <c r="N39" s="379">
        <v>0</v>
      </c>
      <c r="O39" s="379">
        <v>0</v>
      </c>
      <c r="P39" s="379">
        <v>0</v>
      </c>
      <c r="Q39" s="379">
        <v>0</v>
      </c>
      <c r="R39" s="379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379">
        <v>-118.113</v>
      </c>
      <c r="I40" s="379">
        <v>-353.58300000000003</v>
      </c>
      <c r="J40" s="379">
        <f>-474.488</f>
        <v>-474.488</v>
      </c>
      <c r="K40" s="379">
        <v>-180.15</v>
      </c>
      <c r="L40" s="379">
        <v>-9.3970000000000002</v>
      </c>
      <c r="M40" s="379">
        <v>0</v>
      </c>
      <c r="N40" s="379">
        <v>0</v>
      </c>
      <c r="O40" s="379">
        <v>0</v>
      </c>
      <c r="P40" s="379">
        <v>0</v>
      </c>
      <c r="Q40" s="379">
        <v>0</v>
      </c>
      <c r="R40" s="379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378">
        <f>SUM(H42:H45)</f>
        <v>-1861.548</v>
      </c>
      <c r="I41" s="378">
        <f t="shared" ref="I41:R41" si="10">SUM(I42:I45)</f>
        <v>-1956.8520000000001</v>
      </c>
      <c r="J41" s="378">
        <f t="shared" si="10"/>
        <v>-1979.0729999999999</v>
      </c>
      <c r="K41" s="378">
        <f t="shared" si="10"/>
        <v>-2369.6129999999998</v>
      </c>
      <c r="L41" s="378">
        <f t="shared" si="10"/>
        <v>-2799.17</v>
      </c>
      <c r="M41" s="378">
        <f t="shared" si="10"/>
        <v>-2920</v>
      </c>
      <c r="N41" s="378">
        <f t="shared" si="10"/>
        <v>-3224</v>
      </c>
      <c r="O41" s="378">
        <f t="shared" si="10"/>
        <v>-3478</v>
      </c>
      <c r="P41" s="378">
        <f t="shared" si="10"/>
        <v>-3753</v>
      </c>
      <c r="Q41" s="378">
        <f t="shared" si="10"/>
        <v>-3977</v>
      </c>
      <c r="R41" s="378">
        <f t="shared" si="10"/>
        <v>-4225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379">
        <v>-933.95</v>
      </c>
      <c r="I42" s="379">
        <v>-963.27700000000004</v>
      </c>
      <c r="J42" s="379">
        <v>-1028.742</v>
      </c>
      <c r="K42" s="379">
        <v>-1354.655</v>
      </c>
      <c r="L42" s="379">
        <v>-1555.77</v>
      </c>
      <c r="M42" s="379">
        <v>-1674</v>
      </c>
      <c r="N42" s="379">
        <v>-1755</v>
      </c>
      <c r="O42" s="379">
        <v>-1888</v>
      </c>
      <c r="P42" s="379">
        <v>-2051</v>
      </c>
      <c r="Q42" s="379">
        <v>-2154</v>
      </c>
      <c r="R42" s="379">
        <v>-2261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379">
        <v>-687.875</v>
      </c>
      <c r="I43" s="379">
        <v>-715.09699999999998</v>
      </c>
      <c r="J43" s="379">
        <v>-751.50900000000001</v>
      </c>
      <c r="K43" s="379">
        <v>-783.25900000000001</v>
      </c>
      <c r="L43" s="379">
        <v>-1000.801</v>
      </c>
      <c r="M43" s="379">
        <v>-977</v>
      </c>
      <c r="N43" s="379">
        <v>-1224</v>
      </c>
      <c r="O43" s="379">
        <v>-1340</v>
      </c>
      <c r="P43" s="379">
        <v>-1452</v>
      </c>
      <c r="Q43" s="379">
        <v>-1573</v>
      </c>
      <c r="R43" s="379">
        <v>-1704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379">
        <v>-114.36</v>
      </c>
      <c r="I44" s="379">
        <v>-148.41999999999999</v>
      </c>
      <c r="J44" s="379">
        <v>-71.108999999999995</v>
      </c>
      <c r="K44" s="379">
        <v>-64.936999999999998</v>
      </c>
      <c r="L44" s="379">
        <v>-59.741</v>
      </c>
      <c r="M44" s="379">
        <v>-60</v>
      </c>
      <c r="N44" s="379">
        <v>-60</v>
      </c>
      <c r="O44" s="379">
        <v>-60</v>
      </c>
      <c r="P44" s="379">
        <v>-60</v>
      </c>
      <c r="Q44" s="379">
        <v>-60</v>
      </c>
      <c r="R44" s="379">
        <v>-60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379">
        <v>-125.363</v>
      </c>
      <c r="I45" s="379">
        <v>-130.05799999999999</v>
      </c>
      <c r="J45" s="379">
        <v>-127.71299999999999</v>
      </c>
      <c r="K45" s="379">
        <v>-166.762</v>
      </c>
      <c r="L45" s="379">
        <v>-182.858</v>
      </c>
      <c r="M45" s="379">
        <v>-209</v>
      </c>
      <c r="N45" s="379">
        <v>-185</v>
      </c>
      <c r="O45" s="379">
        <v>-190</v>
      </c>
      <c r="P45" s="379">
        <v>-190</v>
      </c>
      <c r="Q45" s="379">
        <v>-190</v>
      </c>
      <c r="R45" s="379">
        <v>-200</v>
      </c>
    </row>
    <row r="46" spans="1:18" x14ac:dyDescent="0.2">
      <c r="B46" s="2" t="s">
        <v>107</v>
      </c>
      <c r="G46" s="18" t="s">
        <v>108</v>
      </c>
      <c r="H46" s="378">
        <f>H33+H38+H41</f>
        <v>-762.55300000000011</v>
      </c>
      <c r="I46" s="378">
        <f t="shared" ref="I46:R46" si="11">I33+I38+I41</f>
        <v>-835.00500000000034</v>
      </c>
      <c r="J46" s="378">
        <f t="shared" si="11"/>
        <v>-938.28899999999999</v>
      </c>
      <c r="K46" s="378">
        <f t="shared" si="11"/>
        <v>1134.0100000000002</v>
      </c>
      <c r="L46" s="378">
        <f t="shared" si="11"/>
        <v>-66.385999999999967</v>
      </c>
      <c r="M46" s="378">
        <f t="shared" si="11"/>
        <v>423.24699999999984</v>
      </c>
      <c r="N46" s="378">
        <f t="shared" si="11"/>
        <v>-90</v>
      </c>
      <c r="O46" s="378">
        <f t="shared" si="11"/>
        <v>64</v>
      </c>
      <c r="P46" s="378">
        <f t="shared" si="11"/>
        <v>8938</v>
      </c>
      <c r="Q46" s="378">
        <f t="shared" si="11"/>
        <v>9856</v>
      </c>
      <c r="R46" s="378">
        <f t="shared" si="11"/>
        <v>230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379">
        <v>0</v>
      </c>
      <c r="I47" s="379">
        <v>0</v>
      </c>
      <c r="J47" s="379">
        <v>0</v>
      </c>
      <c r="K47" s="379">
        <v>-0.90100000000000002</v>
      </c>
      <c r="L47" s="379">
        <v>-0.13400000000000001</v>
      </c>
      <c r="M47" s="379">
        <v>1</v>
      </c>
      <c r="N47" s="379">
        <v>0</v>
      </c>
      <c r="O47" s="379">
        <v>-1</v>
      </c>
      <c r="P47" s="379">
        <v>-1</v>
      </c>
      <c r="Q47" s="379">
        <v>-1</v>
      </c>
      <c r="R47" s="379">
        <v>-1</v>
      </c>
    </row>
    <row r="48" spans="1:18" x14ac:dyDescent="0.2">
      <c r="B48" s="2" t="s">
        <v>111</v>
      </c>
      <c r="G48" s="18" t="s">
        <v>112</v>
      </c>
      <c r="H48" s="378">
        <f>H46+H47</f>
        <v>-762.55300000000011</v>
      </c>
      <c r="I48" s="378">
        <f t="shared" ref="I48:R48" si="12">I46+I47</f>
        <v>-835.00500000000034</v>
      </c>
      <c r="J48" s="378">
        <f t="shared" si="12"/>
        <v>-938.28899999999999</v>
      </c>
      <c r="K48" s="378">
        <f t="shared" si="12"/>
        <v>1133.1090000000002</v>
      </c>
      <c r="L48" s="378">
        <f t="shared" si="12"/>
        <v>-66.519999999999968</v>
      </c>
      <c r="M48" s="378">
        <f t="shared" si="12"/>
        <v>424.24699999999984</v>
      </c>
      <c r="N48" s="378">
        <f t="shared" si="12"/>
        <v>-90</v>
      </c>
      <c r="O48" s="378">
        <f t="shared" si="12"/>
        <v>63</v>
      </c>
      <c r="P48" s="378">
        <f t="shared" si="12"/>
        <v>8937</v>
      </c>
      <c r="Q48" s="378">
        <f t="shared" si="12"/>
        <v>9855</v>
      </c>
      <c r="R48" s="378">
        <f t="shared" si="12"/>
        <v>229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379">
        <v>0</v>
      </c>
      <c r="I49" s="379">
        <v>0</v>
      </c>
      <c r="J49" s="379">
        <v>0</v>
      </c>
      <c r="K49" s="379">
        <v>0</v>
      </c>
      <c r="L49" s="379">
        <v>0</v>
      </c>
      <c r="M49" s="379">
        <v>0</v>
      </c>
      <c r="N49" s="379">
        <v>0</v>
      </c>
      <c r="O49" s="379">
        <v>0</v>
      </c>
      <c r="P49" s="379">
        <v>0</v>
      </c>
      <c r="Q49" s="379">
        <v>0</v>
      </c>
      <c r="R49" s="379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379">
        <v>0</v>
      </c>
      <c r="I50" s="379">
        <v>0</v>
      </c>
      <c r="J50" s="379">
        <v>0</v>
      </c>
      <c r="K50" s="379">
        <v>0</v>
      </c>
      <c r="L50" s="379">
        <v>0</v>
      </c>
      <c r="M50" s="379">
        <v>0</v>
      </c>
      <c r="N50" s="379">
        <v>0</v>
      </c>
      <c r="O50" s="379">
        <v>0</v>
      </c>
      <c r="P50" s="379">
        <v>0</v>
      </c>
      <c r="Q50" s="379">
        <v>0</v>
      </c>
      <c r="R50" s="379">
        <v>0</v>
      </c>
    </row>
    <row r="51" spans="1:18" x14ac:dyDescent="0.2">
      <c r="B51" s="2" t="s">
        <v>117</v>
      </c>
      <c r="G51" s="18" t="s">
        <v>118</v>
      </c>
      <c r="H51" s="378">
        <f>H48+H49+H50</f>
        <v>-762.55300000000011</v>
      </c>
      <c r="I51" s="378">
        <f t="shared" ref="I51:R51" si="13">I48+I49+I50</f>
        <v>-835.00500000000034</v>
      </c>
      <c r="J51" s="378">
        <f t="shared" si="13"/>
        <v>-938.28899999999999</v>
      </c>
      <c r="K51" s="378">
        <f t="shared" si="13"/>
        <v>1133.1090000000002</v>
      </c>
      <c r="L51" s="378">
        <f t="shared" si="13"/>
        <v>-66.519999999999968</v>
      </c>
      <c r="M51" s="378">
        <f t="shared" si="13"/>
        <v>424.24699999999984</v>
      </c>
      <c r="N51" s="378">
        <f t="shared" si="13"/>
        <v>-90</v>
      </c>
      <c r="O51" s="378">
        <f t="shared" si="13"/>
        <v>63</v>
      </c>
      <c r="P51" s="378">
        <f t="shared" si="13"/>
        <v>8937</v>
      </c>
      <c r="Q51" s="378">
        <f t="shared" si="13"/>
        <v>9855</v>
      </c>
      <c r="R51" s="378">
        <f t="shared" si="13"/>
        <v>229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382">
        <f>H30-H51</f>
        <v>-9.999999998626663E-4</v>
      </c>
      <c r="I52" s="382">
        <f t="shared" ref="I52:R52" si="14">I30-I51</f>
        <v>0</v>
      </c>
      <c r="J52" s="382">
        <f t="shared" si="14"/>
        <v>0</v>
      </c>
      <c r="K52" s="382">
        <f t="shared" si="14"/>
        <v>9.9999999974897946E-4</v>
      </c>
      <c r="L52" s="382">
        <f t="shared" si="14"/>
        <v>-2.4000000000029331E-2</v>
      </c>
      <c r="M52" s="382">
        <f t="shared" si="14"/>
        <v>-0.24699999999984357</v>
      </c>
      <c r="N52" s="382">
        <f t="shared" si="14"/>
        <v>0</v>
      </c>
      <c r="O52" s="382">
        <f t="shared" si="14"/>
        <v>0</v>
      </c>
      <c r="P52" s="382">
        <f t="shared" si="14"/>
        <v>0</v>
      </c>
      <c r="Q52" s="382">
        <f t="shared" si="14"/>
        <v>0</v>
      </c>
      <c r="R52" s="382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379">
        <v>79</v>
      </c>
      <c r="I54" s="379">
        <v>80</v>
      </c>
      <c r="J54" s="379">
        <v>80</v>
      </c>
      <c r="K54" s="379">
        <v>111</v>
      </c>
      <c r="L54" s="379">
        <v>108</v>
      </c>
      <c r="M54" s="379">
        <v>122</v>
      </c>
      <c r="N54" s="379">
        <v>124</v>
      </c>
      <c r="O54" s="379">
        <v>128</v>
      </c>
      <c r="P54" s="379">
        <v>133</v>
      </c>
      <c r="Q54" s="379">
        <v>133</v>
      </c>
      <c r="R54" s="379">
        <v>133</v>
      </c>
    </row>
    <row r="55" spans="1:18" ht="12" x14ac:dyDescent="0.2">
      <c r="E55" s="20" t="s">
        <v>14</v>
      </c>
      <c r="G55" s="46" t="s">
        <v>122</v>
      </c>
      <c r="H55" s="379"/>
      <c r="I55" s="379"/>
      <c r="J55" s="379"/>
      <c r="K55" s="379"/>
      <c r="L55" s="384"/>
      <c r="M55" s="384"/>
      <c r="N55" s="384"/>
      <c r="O55" s="384"/>
      <c r="P55" s="384"/>
      <c r="Q55" s="384"/>
      <c r="R55" s="384"/>
    </row>
    <row r="57" spans="1:18" x14ac:dyDescent="0.2">
      <c r="D57" s="49" t="s">
        <v>123</v>
      </c>
      <c r="E57" s="50" t="s">
        <v>3</v>
      </c>
      <c r="F57" s="17"/>
      <c r="G57" s="375" t="s">
        <v>124</v>
      </c>
      <c r="H57" s="383">
        <f>H32</f>
        <v>2011</v>
      </c>
      <c r="I57" s="383">
        <f t="shared" ref="I57:R57" si="15">I32</f>
        <v>2012</v>
      </c>
      <c r="J57" s="383">
        <f t="shared" si="15"/>
        <v>2013</v>
      </c>
      <c r="K57" s="383">
        <f t="shared" si="15"/>
        <v>2014</v>
      </c>
      <c r="L57" s="383">
        <f t="shared" si="15"/>
        <v>2015</v>
      </c>
      <c r="M57" s="383">
        <f t="shared" si="15"/>
        <v>2016</v>
      </c>
      <c r="N57" s="383">
        <f t="shared" si="15"/>
        <v>2017</v>
      </c>
      <c r="O57" s="383">
        <f t="shared" si="15"/>
        <v>2018</v>
      </c>
      <c r="P57" s="383">
        <f t="shared" si="15"/>
        <v>2019</v>
      </c>
      <c r="Q57" s="383">
        <f t="shared" si="15"/>
        <v>2020</v>
      </c>
      <c r="R57" s="383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377" t="s">
        <v>128</v>
      </c>
      <c r="H58" s="379">
        <v>-139.34299999999999</v>
      </c>
      <c r="I58" s="379">
        <v>-202.66200000000001</v>
      </c>
      <c r="J58" s="379">
        <v>-968.03499999999997</v>
      </c>
      <c r="K58" s="379">
        <v>-766.55600000000004</v>
      </c>
      <c r="L58" s="379">
        <v>-190.447</v>
      </c>
      <c r="M58" s="379">
        <v>-265</v>
      </c>
      <c r="N58" s="379">
        <v>-409</v>
      </c>
      <c r="O58" s="379">
        <v>-562</v>
      </c>
      <c r="P58" s="379">
        <v>-9315</v>
      </c>
      <c r="Q58" s="379">
        <v>-9955</v>
      </c>
      <c r="R58" s="379">
        <v>-155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379">
        <v>0</v>
      </c>
      <c r="I59" s="379">
        <v>0</v>
      </c>
      <c r="J59" s="379">
        <v>0.377</v>
      </c>
      <c r="K59" s="379">
        <v>0</v>
      </c>
      <c r="L59" s="379">
        <v>0</v>
      </c>
      <c r="M59" s="379">
        <v>0</v>
      </c>
      <c r="N59" s="379">
        <v>0</v>
      </c>
      <c r="O59" s="379">
        <v>0</v>
      </c>
      <c r="P59" s="379">
        <v>0</v>
      </c>
      <c r="Q59" s="379">
        <v>0</v>
      </c>
      <c r="R59" s="379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379">
        <v>0</v>
      </c>
      <c r="I60" s="379">
        <v>0</v>
      </c>
      <c r="J60" s="379">
        <v>574.75</v>
      </c>
      <c r="K60" s="379">
        <v>1487.5730000000001</v>
      </c>
      <c r="L60" s="379">
        <v>110.755</v>
      </c>
      <c r="M60" s="379">
        <v>374</v>
      </c>
      <c r="N60" s="379">
        <v>303</v>
      </c>
      <c r="O60" s="379">
        <v>251</v>
      </c>
      <c r="P60" s="379">
        <v>9111</v>
      </c>
      <c r="Q60" s="379">
        <v>9952</v>
      </c>
      <c r="R60" s="379">
        <v>152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379">
        <v>0</v>
      </c>
      <c r="I61" s="379">
        <v>0</v>
      </c>
      <c r="J61" s="379">
        <v>0</v>
      </c>
      <c r="K61" s="379">
        <v>0</v>
      </c>
      <c r="L61" s="379">
        <v>0</v>
      </c>
      <c r="M61" s="379">
        <v>0</v>
      </c>
      <c r="N61" s="379">
        <v>0</v>
      </c>
      <c r="O61" s="379">
        <v>0</v>
      </c>
      <c r="P61" s="379">
        <v>0</v>
      </c>
      <c r="Q61" s="379">
        <v>0</v>
      </c>
      <c r="R61" s="379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379">
        <v>0</v>
      </c>
      <c r="I62" s="379">
        <v>0</v>
      </c>
      <c r="J62" s="379">
        <v>0</v>
      </c>
      <c r="K62" s="379">
        <v>0</v>
      </c>
      <c r="L62" s="379">
        <v>0</v>
      </c>
      <c r="M62" s="379">
        <v>0</v>
      </c>
      <c r="N62" s="379">
        <v>0</v>
      </c>
      <c r="O62" s="379">
        <v>0</v>
      </c>
      <c r="P62" s="379">
        <v>0</v>
      </c>
      <c r="Q62" s="379">
        <v>0</v>
      </c>
      <c r="R62" s="379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379">
        <v>0</v>
      </c>
      <c r="I63" s="379">
        <v>0</v>
      </c>
      <c r="J63" s="379">
        <v>0</v>
      </c>
      <c r="K63" s="379">
        <v>0</v>
      </c>
      <c r="L63" s="379">
        <v>0</v>
      </c>
      <c r="M63" s="379">
        <v>0</v>
      </c>
      <c r="N63" s="379">
        <v>0</v>
      </c>
      <c r="O63" s="379">
        <v>0</v>
      </c>
      <c r="P63" s="379">
        <v>0</v>
      </c>
      <c r="Q63" s="379">
        <v>0</v>
      </c>
      <c r="R63" s="379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379">
        <v>0</v>
      </c>
      <c r="I64" s="379">
        <v>0</v>
      </c>
      <c r="J64" s="379">
        <v>0</v>
      </c>
      <c r="K64" s="379">
        <v>0</v>
      </c>
      <c r="L64" s="379">
        <v>0</v>
      </c>
      <c r="M64" s="379">
        <v>0</v>
      </c>
      <c r="N64" s="379">
        <v>0</v>
      </c>
      <c r="O64" s="379">
        <v>0</v>
      </c>
      <c r="P64" s="379">
        <v>0</v>
      </c>
      <c r="Q64" s="379">
        <v>0</v>
      </c>
      <c r="R64" s="379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379">
        <v>0</v>
      </c>
      <c r="I65" s="379">
        <v>0</v>
      </c>
      <c r="J65" s="379">
        <v>0</v>
      </c>
      <c r="K65" s="379">
        <v>0</v>
      </c>
      <c r="L65" s="379">
        <v>0</v>
      </c>
      <c r="M65" s="379">
        <v>0</v>
      </c>
      <c r="N65" s="379">
        <v>0</v>
      </c>
      <c r="O65" s="379">
        <v>0</v>
      </c>
      <c r="P65" s="379">
        <v>0</v>
      </c>
      <c r="Q65" s="379">
        <v>0</v>
      </c>
      <c r="R65" s="379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379">
        <v>0</v>
      </c>
      <c r="I66" s="379">
        <v>0</v>
      </c>
      <c r="J66" s="379">
        <v>0</v>
      </c>
      <c r="K66" s="379">
        <v>0</v>
      </c>
      <c r="L66" s="379">
        <v>0</v>
      </c>
      <c r="M66" s="379">
        <v>0</v>
      </c>
      <c r="N66" s="379">
        <v>0</v>
      </c>
      <c r="O66" s="379">
        <v>0</v>
      </c>
      <c r="P66" s="379">
        <v>0</v>
      </c>
      <c r="Q66" s="379">
        <v>0</v>
      </c>
      <c r="R66" s="379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379">
        <v>0</v>
      </c>
      <c r="I67" s="379">
        <v>0</v>
      </c>
      <c r="J67" s="379">
        <v>0</v>
      </c>
      <c r="K67" s="379">
        <v>0</v>
      </c>
      <c r="L67" s="379">
        <v>0</v>
      </c>
      <c r="M67" s="379">
        <v>0</v>
      </c>
      <c r="N67" s="379">
        <v>0</v>
      </c>
      <c r="O67" s="379">
        <v>0</v>
      </c>
      <c r="P67" s="379">
        <v>0</v>
      </c>
      <c r="Q67" s="379">
        <v>0</v>
      </c>
      <c r="R67" s="379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379">
        <v>0</v>
      </c>
      <c r="I68" s="379">
        <v>0</v>
      </c>
      <c r="J68" s="379">
        <v>0</v>
      </c>
      <c r="K68" s="379">
        <v>0</v>
      </c>
      <c r="L68" s="379">
        <v>0</v>
      </c>
      <c r="M68" s="379">
        <v>0</v>
      </c>
      <c r="N68" s="379">
        <v>0</v>
      </c>
      <c r="O68" s="379">
        <v>0</v>
      </c>
      <c r="P68" s="379">
        <v>0</v>
      </c>
      <c r="Q68" s="379">
        <v>0</v>
      </c>
      <c r="R68" s="379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379">
        <v>0</v>
      </c>
      <c r="I69" s="379">
        <v>0</v>
      </c>
      <c r="J69" s="379">
        <v>0</v>
      </c>
      <c r="K69" s="379">
        <v>0</v>
      </c>
      <c r="L69" s="379">
        <v>0</v>
      </c>
      <c r="M69" s="379">
        <v>0</v>
      </c>
      <c r="N69" s="379">
        <v>0</v>
      </c>
      <c r="O69" s="379">
        <v>0</v>
      </c>
      <c r="P69" s="379">
        <v>0</v>
      </c>
      <c r="Q69" s="379">
        <v>0</v>
      </c>
      <c r="R69" s="379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379">
        <v>0</v>
      </c>
      <c r="I70" s="379">
        <v>0</v>
      </c>
      <c r="J70" s="379">
        <v>0</v>
      </c>
      <c r="K70" s="379">
        <v>0</v>
      </c>
      <c r="L70" s="379">
        <v>0.95699999999999996</v>
      </c>
      <c r="M70" s="379">
        <v>0</v>
      </c>
      <c r="N70" s="379">
        <v>0</v>
      </c>
      <c r="O70" s="379">
        <v>0</v>
      </c>
      <c r="P70" s="379">
        <v>0</v>
      </c>
      <c r="Q70" s="379">
        <v>0</v>
      </c>
      <c r="R70" s="379">
        <v>0</v>
      </c>
    </row>
    <row r="71" spans="2:18" x14ac:dyDescent="0.2">
      <c r="B71" s="51" t="s">
        <v>162</v>
      </c>
      <c r="D71" s="16"/>
      <c r="E71" s="22"/>
      <c r="F71" s="22"/>
      <c r="G71" s="385" t="s">
        <v>163</v>
      </c>
      <c r="H71" s="378">
        <f t="shared" ref="H71:R71" si="16">SUM(H58:H70)</f>
        <v>-139.34299999999999</v>
      </c>
      <c r="I71" s="378">
        <f t="shared" si="16"/>
        <v>-202.66200000000001</v>
      </c>
      <c r="J71" s="378">
        <f t="shared" si="16"/>
        <v>-392.90800000000002</v>
      </c>
      <c r="K71" s="378">
        <f t="shared" si="16"/>
        <v>721.01700000000005</v>
      </c>
      <c r="L71" s="378">
        <f t="shared" si="16"/>
        <v>-78.735000000000014</v>
      </c>
      <c r="M71" s="378">
        <f t="shared" si="16"/>
        <v>109</v>
      </c>
      <c r="N71" s="378">
        <f t="shared" si="16"/>
        <v>-106</v>
      </c>
      <c r="O71" s="378">
        <f t="shared" si="16"/>
        <v>-311</v>
      </c>
      <c r="P71" s="378">
        <f t="shared" si="16"/>
        <v>-204</v>
      </c>
      <c r="Q71" s="378">
        <f t="shared" si="16"/>
        <v>-3</v>
      </c>
      <c r="R71" s="378">
        <f t="shared" si="16"/>
        <v>-3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375" t="s">
        <v>164</v>
      </c>
      <c r="H73" s="383">
        <f t="shared" ref="H73:R73" si="17">H57</f>
        <v>2011</v>
      </c>
      <c r="I73" s="383">
        <f t="shared" si="17"/>
        <v>2012</v>
      </c>
      <c r="J73" s="383">
        <f t="shared" si="17"/>
        <v>2013</v>
      </c>
      <c r="K73" s="383">
        <f t="shared" si="17"/>
        <v>2014</v>
      </c>
      <c r="L73" s="383">
        <f t="shared" si="17"/>
        <v>2015</v>
      </c>
      <c r="M73" s="383">
        <f t="shared" si="17"/>
        <v>2016</v>
      </c>
      <c r="N73" s="383">
        <f t="shared" si="17"/>
        <v>2017</v>
      </c>
      <c r="O73" s="383">
        <f t="shared" si="17"/>
        <v>2018</v>
      </c>
      <c r="P73" s="383">
        <f t="shared" si="17"/>
        <v>2019</v>
      </c>
      <c r="Q73" s="383">
        <f t="shared" si="17"/>
        <v>2020</v>
      </c>
      <c r="R73" s="383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377" t="s">
        <v>167</v>
      </c>
      <c r="H74" s="379">
        <v>0</v>
      </c>
      <c r="I74" s="379">
        <v>0</v>
      </c>
      <c r="J74" s="379">
        <v>0</v>
      </c>
      <c r="K74" s="379">
        <v>0</v>
      </c>
      <c r="L74" s="379">
        <v>0</v>
      </c>
      <c r="M74" s="379">
        <v>0</v>
      </c>
      <c r="N74" s="379">
        <v>0</v>
      </c>
      <c r="O74" s="379">
        <v>0</v>
      </c>
      <c r="P74" s="379">
        <v>0</v>
      </c>
      <c r="Q74" s="379">
        <v>0</v>
      </c>
      <c r="R74" s="379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379">
        <v>0</v>
      </c>
      <c r="I75" s="379">
        <v>0</v>
      </c>
      <c r="J75" s="379">
        <v>0</v>
      </c>
      <c r="K75" s="379">
        <v>0</v>
      </c>
      <c r="L75" s="379">
        <v>0</v>
      </c>
      <c r="M75" s="379">
        <v>0</v>
      </c>
      <c r="N75" s="379">
        <v>0</v>
      </c>
      <c r="O75" s="379">
        <v>0</v>
      </c>
      <c r="P75" s="379">
        <v>0</v>
      </c>
      <c r="Q75" s="379">
        <v>0</v>
      </c>
      <c r="R75" s="379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379">
        <v>150.80699999999999</v>
      </c>
      <c r="I76" s="379">
        <v>0</v>
      </c>
      <c r="J76" s="379">
        <v>0</v>
      </c>
      <c r="K76" s="379">
        <v>0</v>
      </c>
      <c r="L76" s="379">
        <v>0</v>
      </c>
      <c r="M76" s="379">
        <v>0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379">
        <v>-24.161999999999999</v>
      </c>
      <c r="I77" s="379">
        <v>-24.821999999999999</v>
      </c>
      <c r="J77" s="379">
        <v>-125.985</v>
      </c>
      <c r="K77" s="379">
        <v>0</v>
      </c>
      <c r="L77" s="379">
        <v>0</v>
      </c>
      <c r="M77" s="379">
        <v>0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379">
        <v>0</v>
      </c>
      <c r="I78" s="379">
        <v>0</v>
      </c>
      <c r="J78" s="379">
        <v>0</v>
      </c>
      <c r="K78" s="379">
        <v>-5.4539999999999997</v>
      </c>
      <c r="L78" s="379">
        <v>-4.33</v>
      </c>
      <c r="M78" s="379">
        <v>-4</v>
      </c>
      <c r="N78" s="379">
        <v>-5</v>
      </c>
      <c r="O78" s="379">
        <v>-5</v>
      </c>
      <c r="P78" s="379">
        <v>-13</v>
      </c>
      <c r="Q78" s="379">
        <v>0</v>
      </c>
      <c r="R78" s="379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379">
        <v>0</v>
      </c>
      <c r="I79" s="379">
        <v>0</v>
      </c>
      <c r="J79" s="379">
        <v>0</v>
      </c>
      <c r="K79" s="379">
        <v>-0.90100000000000002</v>
      </c>
      <c r="L79" s="379">
        <v>-1.0920000000000001</v>
      </c>
      <c r="M79" s="379">
        <v>0</v>
      </c>
      <c r="N79" s="379">
        <v>0</v>
      </c>
      <c r="O79" s="379">
        <v>0</v>
      </c>
      <c r="P79" s="379">
        <v>0</v>
      </c>
      <c r="Q79" s="379">
        <v>0</v>
      </c>
      <c r="R79" s="379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379">
        <v>0</v>
      </c>
      <c r="I80" s="379">
        <v>0</v>
      </c>
      <c r="J80" s="379">
        <v>0</v>
      </c>
      <c r="K80" s="379">
        <v>0</v>
      </c>
      <c r="L80" s="379">
        <v>0</v>
      </c>
      <c r="M80" s="379">
        <v>0</v>
      </c>
      <c r="N80" s="379">
        <v>0</v>
      </c>
      <c r="O80" s="379">
        <v>0</v>
      </c>
      <c r="P80" s="379">
        <v>0</v>
      </c>
      <c r="Q80" s="379">
        <v>0</v>
      </c>
      <c r="R80" s="379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379">
        <v>0</v>
      </c>
      <c r="I81" s="379">
        <v>0</v>
      </c>
      <c r="J81" s="379">
        <v>0</v>
      </c>
      <c r="K81" s="379">
        <v>0</v>
      </c>
      <c r="L81" s="379">
        <v>0</v>
      </c>
      <c r="M81" s="379">
        <v>0</v>
      </c>
      <c r="N81" s="379">
        <v>0</v>
      </c>
      <c r="O81" s="379">
        <v>0</v>
      </c>
      <c r="P81" s="379">
        <v>0</v>
      </c>
      <c r="Q81" s="379">
        <v>0</v>
      </c>
      <c r="R81" s="379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379">
        <v>1054.56</v>
      </c>
      <c r="I82" s="379">
        <v>888.51099999999997</v>
      </c>
      <c r="J82" s="379">
        <v>1408.5350000000001</v>
      </c>
      <c r="K82" s="379">
        <v>0</v>
      </c>
      <c r="L82" s="379">
        <v>0</v>
      </c>
      <c r="M82" s="379">
        <v>0</v>
      </c>
      <c r="N82" s="379">
        <v>0</v>
      </c>
      <c r="O82" s="379">
        <v>0</v>
      </c>
      <c r="P82" s="379">
        <v>0</v>
      </c>
      <c r="Q82" s="379">
        <v>0</v>
      </c>
      <c r="R82" s="379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379">
        <v>0</v>
      </c>
      <c r="I83" s="379">
        <v>0</v>
      </c>
      <c r="J83" s="379">
        <v>0</v>
      </c>
      <c r="K83" s="379">
        <v>0</v>
      </c>
      <c r="L83" s="379">
        <v>0</v>
      </c>
      <c r="M83" s="379">
        <v>0</v>
      </c>
      <c r="N83" s="379">
        <v>0</v>
      </c>
      <c r="O83" s="379">
        <v>0</v>
      </c>
      <c r="P83" s="379">
        <v>0</v>
      </c>
      <c r="Q83" s="379">
        <v>0</v>
      </c>
      <c r="R83" s="379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379">
        <v>0</v>
      </c>
      <c r="I84" s="379">
        <v>0</v>
      </c>
      <c r="J84" s="379">
        <v>0</v>
      </c>
      <c r="K84" s="379">
        <v>0</v>
      </c>
      <c r="L84" s="379">
        <v>0</v>
      </c>
      <c r="M84" s="379">
        <v>0</v>
      </c>
      <c r="N84" s="379">
        <v>0</v>
      </c>
      <c r="O84" s="379">
        <v>0</v>
      </c>
      <c r="P84" s="379">
        <v>0</v>
      </c>
      <c r="Q84" s="379">
        <v>0</v>
      </c>
      <c r="R84" s="379">
        <v>0</v>
      </c>
    </row>
    <row r="85" spans="1:18" x14ac:dyDescent="0.2">
      <c r="B85" s="2" t="s">
        <v>192</v>
      </c>
      <c r="G85" s="186" t="s">
        <v>163</v>
      </c>
      <c r="H85" s="378">
        <f t="shared" ref="H85:R85" si="18">SUM(H74:H84)</f>
        <v>1181.2049999999999</v>
      </c>
      <c r="I85" s="378">
        <f t="shared" si="18"/>
        <v>863.68899999999996</v>
      </c>
      <c r="J85" s="378">
        <f t="shared" si="18"/>
        <v>1282.5500000000002</v>
      </c>
      <c r="K85" s="378">
        <f t="shared" si="18"/>
        <v>-6.3549999999999995</v>
      </c>
      <c r="L85" s="378">
        <f t="shared" si="18"/>
        <v>-5.4220000000000006</v>
      </c>
      <c r="M85" s="378">
        <f t="shared" si="18"/>
        <v>-4</v>
      </c>
      <c r="N85" s="378">
        <f t="shared" si="18"/>
        <v>-5</v>
      </c>
      <c r="O85" s="378">
        <f t="shared" si="18"/>
        <v>-5</v>
      </c>
      <c r="P85" s="378">
        <f t="shared" si="18"/>
        <v>-13</v>
      </c>
      <c r="Q85" s="378">
        <f t="shared" si="18"/>
        <v>0</v>
      </c>
      <c r="R85" s="378">
        <f t="shared" si="18"/>
        <v>0</v>
      </c>
    </row>
    <row r="87" spans="1:18" x14ac:dyDescent="0.2">
      <c r="A87" s="23" t="s">
        <v>0</v>
      </c>
      <c r="D87" s="1244" t="s">
        <v>193</v>
      </c>
      <c r="E87" s="1245"/>
      <c r="G87" s="375" t="s">
        <v>194</v>
      </c>
      <c r="H87" s="383">
        <f t="shared" ref="H87:R87" si="19">H32</f>
        <v>2011</v>
      </c>
      <c r="I87" s="383">
        <f t="shared" si="19"/>
        <v>2012</v>
      </c>
      <c r="J87" s="383">
        <f t="shared" si="19"/>
        <v>2013</v>
      </c>
      <c r="K87" s="383">
        <f t="shared" si="19"/>
        <v>2014</v>
      </c>
      <c r="L87" s="383">
        <f t="shared" si="19"/>
        <v>2015</v>
      </c>
      <c r="M87" s="383">
        <f t="shared" si="19"/>
        <v>2016</v>
      </c>
      <c r="N87" s="383">
        <f t="shared" si="19"/>
        <v>2017</v>
      </c>
      <c r="O87" s="383">
        <f t="shared" si="19"/>
        <v>2018</v>
      </c>
      <c r="P87" s="383">
        <f t="shared" si="19"/>
        <v>2019</v>
      </c>
      <c r="Q87" s="383">
        <f t="shared" si="19"/>
        <v>2020</v>
      </c>
      <c r="R87" s="383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386"/>
      <c r="G88" s="377" t="s">
        <v>198</v>
      </c>
      <c r="H88" s="378">
        <f>H46+H71</f>
        <v>-901.89600000000007</v>
      </c>
      <c r="I88" s="378">
        <f t="shared" ref="I88:R88" si="20">I46+I71</f>
        <v>-1037.6670000000004</v>
      </c>
      <c r="J88" s="378">
        <f t="shared" si="20"/>
        <v>-1331.1970000000001</v>
      </c>
      <c r="K88" s="378">
        <f t="shared" si="20"/>
        <v>1855.0270000000003</v>
      </c>
      <c r="L88" s="378">
        <f t="shared" si="20"/>
        <v>-145.12099999999998</v>
      </c>
      <c r="M88" s="378">
        <f t="shared" si="20"/>
        <v>532.24699999999984</v>
      </c>
      <c r="N88" s="378">
        <f t="shared" si="20"/>
        <v>-196</v>
      </c>
      <c r="O88" s="378">
        <f t="shared" si="20"/>
        <v>-247</v>
      </c>
      <c r="P88" s="378">
        <f t="shared" si="20"/>
        <v>8734</v>
      </c>
      <c r="Q88" s="378">
        <f t="shared" si="20"/>
        <v>9853</v>
      </c>
      <c r="R88" s="378">
        <f t="shared" si="20"/>
        <v>227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386"/>
      <c r="G89" s="377" t="s">
        <v>202</v>
      </c>
      <c r="H89" s="387">
        <f t="shared" ref="H89:R89" si="21">H33+H38+H41-H45</f>
        <v>-637.19000000000005</v>
      </c>
      <c r="I89" s="378">
        <f t="shared" si="21"/>
        <v>-704.94700000000034</v>
      </c>
      <c r="J89" s="378">
        <f t="shared" si="21"/>
        <v>-810.57600000000002</v>
      </c>
      <c r="K89" s="378">
        <f t="shared" si="21"/>
        <v>1300.7720000000002</v>
      </c>
      <c r="L89" s="378">
        <f t="shared" si="21"/>
        <v>116.47200000000004</v>
      </c>
      <c r="M89" s="378">
        <f t="shared" si="21"/>
        <v>632.24699999999984</v>
      </c>
      <c r="N89" s="378">
        <f t="shared" si="21"/>
        <v>95</v>
      </c>
      <c r="O89" s="378">
        <f t="shared" si="21"/>
        <v>254</v>
      </c>
      <c r="P89" s="378">
        <f t="shared" si="21"/>
        <v>9128</v>
      </c>
      <c r="Q89" s="378">
        <f t="shared" si="21"/>
        <v>10046</v>
      </c>
      <c r="R89" s="378">
        <f t="shared" si="21"/>
        <v>430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388">
        <v>0</v>
      </c>
      <c r="G90" s="186" t="s">
        <v>206</v>
      </c>
      <c r="H90" s="389">
        <f t="shared" ref="H90:R90" si="22">H89/H33</f>
        <v>-0.52352790385076764</v>
      </c>
      <c r="I90" s="390">
        <f t="shared" si="22"/>
        <v>-0.47779088130240027</v>
      </c>
      <c r="J90" s="390">
        <f t="shared" si="22"/>
        <v>-0.53493762176031767</v>
      </c>
      <c r="K90" s="390">
        <f t="shared" si="22"/>
        <v>0.3531086198851015</v>
      </c>
      <c r="L90" s="390">
        <f t="shared" si="22"/>
        <v>4.2474220337753062E-2</v>
      </c>
      <c r="M90" s="390">
        <f t="shared" si="22"/>
        <v>0.18911166300306256</v>
      </c>
      <c r="N90" s="390">
        <f t="shared" si="22"/>
        <v>3.0312699425654115E-2</v>
      </c>
      <c r="O90" s="390">
        <f t="shared" si="22"/>
        <v>7.171089779785432E-2</v>
      </c>
      <c r="P90" s="390">
        <f t="shared" si="22"/>
        <v>0.71924986210700492</v>
      </c>
      <c r="Q90" s="390">
        <f t="shared" si="22"/>
        <v>0.72623436709318301</v>
      </c>
      <c r="R90" s="390">
        <f t="shared" si="22"/>
        <v>9.6520763187429859E-2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386"/>
      <c r="G91" s="18" t="s">
        <v>210</v>
      </c>
      <c r="H91" s="391">
        <f t="shared" ref="H91:R91" si="23">-H33/(H38+H41)</f>
        <v>0.61480627238704</v>
      </c>
      <c r="I91" s="391">
        <f t="shared" si="23"/>
        <v>0.63859403099416334</v>
      </c>
      <c r="J91" s="391">
        <f t="shared" si="23"/>
        <v>0.61758073265755375</v>
      </c>
      <c r="K91" s="391">
        <f t="shared" si="23"/>
        <v>1.4447511396157213</v>
      </c>
      <c r="L91" s="391">
        <f t="shared" si="23"/>
        <v>0.97636303495697274</v>
      </c>
      <c r="M91" s="391">
        <f t="shared" si="23"/>
        <v>1.1449476027397261</v>
      </c>
      <c r="N91" s="391">
        <f t="shared" si="23"/>
        <v>0.97208436724565761</v>
      </c>
      <c r="O91" s="391">
        <f t="shared" si="23"/>
        <v>1.0184013801035077</v>
      </c>
      <c r="P91" s="391">
        <f t="shared" si="23"/>
        <v>3.3815614175326405</v>
      </c>
      <c r="Q91" s="391">
        <f t="shared" si="23"/>
        <v>3.4782499371385467</v>
      </c>
      <c r="R91" s="391">
        <f t="shared" si="23"/>
        <v>1.0544378698224852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386"/>
      <c r="G92" s="377" t="s">
        <v>214</v>
      </c>
      <c r="H92" s="387">
        <f>H46</f>
        <v>-762.55300000000011</v>
      </c>
      <c r="I92" s="387">
        <f t="shared" ref="I92:R92" si="24">I46</f>
        <v>-835.00500000000034</v>
      </c>
      <c r="J92" s="387">
        <f t="shared" si="24"/>
        <v>-938.28899999999999</v>
      </c>
      <c r="K92" s="387">
        <f t="shared" si="24"/>
        <v>1134.0100000000002</v>
      </c>
      <c r="L92" s="387">
        <f t="shared" si="24"/>
        <v>-66.385999999999967</v>
      </c>
      <c r="M92" s="387">
        <f t="shared" si="24"/>
        <v>423.24699999999984</v>
      </c>
      <c r="N92" s="387">
        <f t="shared" si="24"/>
        <v>-90</v>
      </c>
      <c r="O92" s="387">
        <f t="shared" si="24"/>
        <v>64</v>
      </c>
      <c r="P92" s="387">
        <f t="shared" si="24"/>
        <v>8938</v>
      </c>
      <c r="Q92" s="387">
        <f t="shared" si="24"/>
        <v>9856</v>
      </c>
      <c r="R92" s="387">
        <f t="shared" si="24"/>
        <v>230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388">
        <v>-0.3</v>
      </c>
      <c r="E93" s="388">
        <v>0</v>
      </c>
      <c r="G93" s="18" t="s">
        <v>218</v>
      </c>
      <c r="H93" s="392">
        <f>H46/H33</f>
        <v>-0.62652862358968975</v>
      </c>
      <c r="I93" s="393">
        <f t="shared" ref="I93:R93" si="25">I46/I33</f>
        <v>-0.56594009881864982</v>
      </c>
      <c r="J93" s="393">
        <f t="shared" si="25"/>
        <v>-0.6192214995063593</v>
      </c>
      <c r="K93" s="393">
        <f t="shared" si="25"/>
        <v>0.30783927239816355</v>
      </c>
      <c r="L93" s="393">
        <f t="shared" si="25"/>
        <v>-2.4209196985902813E-2</v>
      </c>
      <c r="M93" s="393">
        <f t="shared" si="25"/>
        <v>0.12659758611912308</v>
      </c>
      <c r="N93" s="393">
        <f t="shared" si="25"/>
        <v>-2.8717294192724951E-2</v>
      </c>
      <c r="O93" s="393">
        <f t="shared" si="25"/>
        <v>1.8068887634105024E-2</v>
      </c>
      <c r="P93" s="393">
        <f t="shared" si="25"/>
        <v>0.70427862264596963</v>
      </c>
      <c r="Q93" s="393">
        <f t="shared" si="25"/>
        <v>0.71249909636376785</v>
      </c>
      <c r="R93" s="393">
        <f t="shared" si="25"/>
        <v>5.1627384960718295E-2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386"/>
      <c r="G94" s="186" t="s">
        <v>222</v>
      </c>
      <c r="H94" s="387">
        <f>H29+H30</f>
        <v>0</v>
      </c>
      <c r="I94" s="387">
        <f t="shared" ref="I94:R94" si="26">I29+I30</f>
        <v>0</v>
      </c>
      <c r="J94" s="387">
        <f t="shared" si="26"/>
        <v>0</v>
      </c>
      <c r="K94" s="387">
        <f t="shared" si="26"/>
        <v>4494.4709999999995</v>
      </c>
      <c r="L94" s="387">
        <f t="shared" si="26"/>
        <v>4427.9269999999997</v>
      </c>
      <c r="M94" s="387">
        <f t="shared" si="26"/>
        <v>4851.9260000000004</v>
      </c>
      <c r="N94" s="387">
        <f t="shared" si="26"/>
        <v>4762</v>
      </c>
      <c r="O94" s="387">
        <f t="shared" si="26"/>
        <v>4825</v>
      </c>
      <c r="P94" s="387">
        <f t="shared" si="26"/>
        <v>13762</v>
      </c>
      <c r="Q94" s="387">
        <f t="shared" si="26"/>
        <v>23617</v>
      </c>
      <c r="R94" s="387">
        <f t="shared" si="26"/>
        <v>23846</v>
      </c>
    </row>
    <row r="95" spans="1:18" x14ac:dyDescent="0.2">
      <c r="G95" s="68" t="s">
        <v>223</v>
      </c>
      <c r="H95" s="383">
        <f t="shared" ref="H95:R95" si="27">H87</f>
        <v>2011</v>
      </c>
      <c r="I95" s="383">
        <f t="shared" si="27"/>
        <v>2012</v>
      </c>
      <c r="J95" s="383">
        <f t="shared" si="27"/>
        <v>2013</v>
      </c>
      <c r="K95" s="383">
        <f t="shared" si="27"/>
        <v>2014</v>
      </c>
      <c r="L95" s="383">
        <f t="shared" si="27"/>
        <v>2015</v>
      </c>
      <c r="M95" s="383">
        <f t="shared" si="27"/>
        <v>2016</v>
      </c>
      <c r="N95" s="383">
        <f t="shared" si="27"/>
        <v>2017</v>
      </c>
      <c r="O95" s="383">
        <f t="shared" si="27"/>
        <v>2018</v>
      </c>
      <c r="P95" s="383">
        <f t="shared" si="27"/>
        <v>2019</v>
      </c>
      <c r="Q95" s="383">
        <f t="shared" si="27"/>
        <v>2020</v>
      </c>
      <c r="R95" s="383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386"/>
      <c r="F96" s="69"/>
      <c r="G96" s="377" t="s">
        <v>227</v>
      </c>
      <c r="H96" s="387">
        <f t="shared" ref="H96:R96" si="28">H6+H12</f>
        <v>283.04000000000002</v>
      </c>
      <c r="I96" s="378">
        <f t="shared" si="28"/>
        <v>226.77500000000001</v>
      </c>
      <c r="J96" s="378">
        <f t="shared" si="28"/>
        <v>274.524</v>
      </c>
      <c r="K96" s="378">
        <f t="shared" si="28"/>
        <v>665.37599999999998</v>
      </c>
      <c r="L96" s="378">
        <f t="shared" si="28"/>
        <v>731.53599999999994</v>
      </c>
      <c r="M96" s="378">
        <f t="shared" si="28"/>
        <v>1118.4760000000001</v>
      </c>
      <c r="N96" s="378">
        <f t="shared" si="28"/>
        <v>531</v>
      </c>
      <c r="O96" s="378">
        <f t="shared" si="28"/>
        <v>245</v>
      </c>
      <c r="P96" s="378">
        <f t="shared" si="28"/>
        <v>145</v>
      </c>
      <c r="Q96" s="378">
        <f t="shared" si="28"/>
        <v>235</v>
      </c>
      <c r="R96" s="378">
        <f t="shared" si="28"/>
        <v>509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386"/>
      <c r="F97" s="69"/>
      <c r="G97" s="18" t="s">
        <v>230</v>
      </c>
      <c r="H97" s="387">
        <f>H19</f>
        <v>367.60700000000003</v>
      </c>
      <c r="I97" s="387">
        <f t="shared" ref="I97:R97" si="29">I19</f>
        <v>375.49400000000003</v>
      </c>
      <c r="J97" s="387">
        <f t="shared" si="29"/>
        <v>905.02700000000004</v>
      </c>
      <c r="K97" s="387">
        <f t="shared" si="29"/>
        <v>469.47300000000001</v>
      </c>
      <c r="L97" s="387">
        <f t="shared" si="29"/>
        <v>499.16900000000004</v>
      </c>
      <c r="M97" s="387">
        <f t="shared" si="29"/>
        <v>533</v>
      </c>
      <c r="N97" s="387">
        <f t="shared" si="29"/>
        <v>322</v>
      </c>
      <c r="O97" s="387">
        <f t="shared" si="29"/>
        <v>345</v>
      </c>
      <c r="P97" s="387">
        <f t="shared" si="29"/>
        <v>433</v>
      </c>
      <c r="Q97" s="387">
        <f t="shared" si="29"/>
        <v>433</v>
      </c>
      <c r="R97" s="387">
        <f t="shared" si="29"/>
        <v>433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386"/>
      <c r="F98" s="69"/>
      <c r="G98" s="18" t="s">
        <v>234</v>
      </c>
      <c r="H98" s="387">
        <f t="shared" ref="H98:R98" si="30">H97-H96</f>
        <v>84.567000000000007</v>
      </c>
      <c r="I98" s="378">
        <f t="shared" si="30"/>
        <v>148.71900000000002</v>
      </c>
      <c r="J98" s="378">
        <f t="shared" si="30"/>
        <v>630.50300000000004</v>
      </c>
      <c r="K98" s="378">
        <f t="shared" si="30"/>
        <v>-195.90299999999996</v>
      </c>
      <c r="L98" s="378">
        <f t="shared" si="30"/>
        <v>-232.3669999999999</v>
      </c>
      <c r="M98" s="378">
        <f t="shared" si="30"/>
        <v>-585.47600000000011</v>
      </c>
      <c r="N98" s="378">
        <f t="shared" si="30"/>
        <v>-209</v>
      </c>
      <c r="O98" s="378">
        <f t="shared" si="30"/>
        <v>100</v>
      </c>
      <c r="P98" s="378">
        <f t="shared" si="30"/>
        <v>288</v>
      </c>
      <c r="Q98" s="378">
        <f t="shared" si="30"/>
        <v>198</v>
      </c>
      <c r="R98" s="378">
        <f t="shared" si="30"/>
        <v>-76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388">
        <v>0.4</v>
      </c>
      <c r="F99" s="69"/>
      <c r="G99" s="18" t="s">
        <v>238</v>
      </c>
      <c r="H99" s="394">
        <f t="shared" ref="H99:R99" si="31">H98/H33</f>
        <v>6.9481919435251435E-2</v>
      </c>
      <c r="I99" s="390">
        <f t="shared" si="31"/>
        <v>0.10079705577357112</v>
      </c>
      <c r="J99" s="390">
        <f t="shared" si="31"/>
        <v>0.41609889181612281</v>
      </c>
      <c r="K99" s="390">
        <f t="shared" si="31"/>
        <v>-5.3179986931876623E-2</v>
      </c>
      <c r="L99" s="390">
        <f t="shared" si="31"/>
        <v>-8.4738024222325181E-2</v>
      </c>
      <c r="M99" s="390">
        <f t="shared" si="31"/>
        <v>-0.17512196974976726</v>
      </c>
      <c r="N99" s="390">
        <f t="shared" si="31"/>
        <v>-6.6687938736439051E-2</v>
      </c>
      <c r="O99" s="390">
        <f t="shared" si="31"/>
        <v>2.8232636928289104E-2</v>
      </c>
      <c r="P99" s="390">
        <f t="shared" si="31"/>
        <v>2.2693247183043101E-2</v>
      </c>
      <c r="Q99" s="390">
        <f t="shared" si="31"/>
        <v>1.4313597918022121E-2</v>
      </c>
      <c r="R99" s="390">
        <f t="shared" si="31"/>
        <v>-1.7059483726150394E-2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395">
        <v>0</v>
      </c>
      <c r="E100" s="395">
        <v>5</v>
      </c>
      <c r="F100" s="69"/>
      <c r="G100" s="18" t="s">
        <v>242</v>
      </c>
      <c r="H100" s="391">
        <f t="shared" ref="H100:R100" si="32">H98/H89</f>
        <v>-0.13271865534612909</v>
      </c>
      <c r="I100" s="391">
        <f t="shared" si="32"/>
        <v>-0.21096479593501349</v>
      </c>
      <c r="J100" s="391">
        <f t="shared" si="32"/>
        <v>-0.77784563076133517</v>
      </c>
      <c r="K100" s="391">
        <f t="shared" si="32"/>
        <v>-0.1506051790782704</v>
      </c>
      <c r="L100" s="391">
        <f t="shared" si="32"/>
        <v>-1.9950460196442048</v>
      </c>
      <c r="M100" s="391">
        <f t="shared" si="32"/>
        <v>-0.92602416460655446</v>
      </c>
      <c r="N100" s="391">
        <f t="shared" si="32"/>
        <v>-2.2000000000000002</v>
      </c>
      <c r="O100" s="391">
        <f t="shared" si="32"/>
        <v>0.39370078740157483</v>
      </c>
      <c r="P100" s="391">
        <f t="shared" si="32"/>
        <v>3.1551270815074493E-2</v>
      </c>
      <c r="Q100" s="391">
        <f t="shared" si="32"/>
        <v>1.9709337049571968E-2</v>
      </c>
      <c r="R100" s="391">
        <f t="shared" si="32"/>
        <v>-0.17674418604651163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386"/>
      <c r="F101" s="69"/>
      <c r="G101" s="18" t="s">
        <v>246</v>
      </c>
      <c r="H101" s="387">
        <f t="shared" ref="H101:R101" si="33">-(H75+H77+H78+H79+H80+H81)</f>
        <v>24.161999999999999</v>
      </c>
      <c r="I101" s="387">
        <f t="shared" si="33"/>
        <v>24.821999999999999</v>
      </c>
      <c r="J101" s="387">
        <f t="shared" si="33"/>
        <v>125.985</v>
      </c>
      <c r="K101" s="387">
        <f t="shared" si="33"/>
        <v>6.3549999999999995</v>
      </c>
      <c r="L101" s="387">
        <f t="shared" si="33"/>
        <v>5.4220000000000006</v>
      </c>
      <c r="M101" s="387">
        <f t="shared" si="33"/>
        <v>4</v>
      </c>
      <c r="N101" s="387">
        <f t="shared" si="33"/>
        <v>5</v>
      </c>
      <c r="O101" s="387">
        <f t="shared" si="33"/>
        <v>5</v>
      </c>
      <c r="P101" s="387">
        <f t="shared" si="33"/>
        <v>13</v>
      </c>
      <c r="Q101" s="387">
        <f t="shared" si="33"/>
        <v>0</v>
      </c>
      <c r="R101" s="387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395">
        <v>1.2</v>
      </c>
      <c r="F102" s="69"/>
      <c r="G102" s="18" t="s">
        <v>250</v>
      </c>
      <c r="H102" s="396">
        <f t="shared" ref="H102:R102" si="34">H89/H101</f>
        <v>-26.371575200728419</v>
      </c>
      <c r="I102" s="391">
        <f t="shared" si="34"/>
        <v>-28.400088631053112</v>
      </c>
      <c r="J102" s="391">
        <f t="shared" si="34"/>
        <v>-6.4339087986665078</v>
      </c>
      <c r="K102" s="391">
        <f t="shared" si="34"/>
        <v>204.68481510621561</v>
      </c>
      <c r="L102" s="391">
        <f t="shared" si="34"/>
        <v>21.481372187384732</v>
      </c>
      <c r="M102" s="391">
        <f t="shared" si="34"/>
        <v>158.06174999999996</v>
      </c>
      <c r="N102" s="391">
        <f t="shared" si="34"/>
        <v>19</v>
      </c>
      <c r="O102" s="391">
        <f t="shared" si="34"/>
        <v>50.8</v>
      </c>
      <c r="P102" s="391">
        <f t="shared" si="34"/>
        <v>702.15384615384619</v>
      </c>
      <c r="Q102" s="391" t="e">
        <f t="shared" si="34"/>
        <v>#DIV/0!</v>
      </c>
      <c r="R102" s="391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395">
        <v>0</v>
      </c>
      <c r="F103" s="69"/>
      <c r="G103" s="377" t="s">
        <v>254</v>
      </c>
      <c r="H103" s="387">
        <f t="shared" ref="H103:R103" si="35">H5-H20</f>
        <v>277.45400000000001</v>
      </c>
      <c r="I103" s="387">
        <f t="shared" si="35"/>
        <v>251.803</v>
      </c>
      <c r="J103" s="387">
        <f t="shared" si="35"/>
        <v>-215.81000000000006</v>
      </c>
      <c r="K103" s="387">
        <f t="shared" si="35"/>
        <v>473.70599999999996</v>
      </c>
      <c r="L103" s="387">
        <f t="shared" si="35"/>
        <v>377.85999999999996</v>
      </c>
      <c r="M103" s="387">
        <f t="shared" si="35"/>
        <v>731.47600000000011</v>
      </c>
      <c r="N103" s="387">
        <f t="shared" si="35"/>
        <v>405</v>
      </c>
      <c r="O103" s="387">
        <f t="shared" si="35"/>
        <v>96</v>
      </c>
      <c r="P103" s="387">
        <f t="shared" si="35"/>
        <v>-98</v>
      </c>
      <c r="Q103" s="387">
        <f t="shared" si="35"/>
        <v>-8</v>
      </c>
      <c r="R103" s="387">
        <f t="shared" si="35"/>
        <v>266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395">
        <v>1</v>
      </c>
      <c r="F104" s="69"/>
      <c r="G104" s="18" t="s">
        <v>258</v>
      </c>
      <c r="H104" s="396">
        <f t="shared" ref="H104:R104" si="36">H5/H20</f>
        <v>1.7547571183356139</v>
      </c>
      <c r="I104" s="396">
        <f t="shared" si="36"/>
        <v>1.6705894885417916</v>
      </c>
      <c r="J104" s="396">
        <f t="shared" si="36"/>
        <v>0.76154302578818089</v>
      </c>
      <c r="K104" s="396">
        <f t="shared" si="36"/>
        <v>2.0708656789297355</v>
      </c>
      <c r="L104" s="396">
        <f t="shared" si="36"/>
        <v>1.7929140103998353</v>
      </c>
      <c r="M104" s="396">
        <f t="shared" si="36"/>
        <v>2.4203417475728157</v>
      </c>
      <c r="N104" s="396">
        <f t="shared" si="36"/>
        <v>2.2816455696202533</v>
      </c>
      <c r="O104" s="396">
        <f t="shared" si="36"/>
        <v>1.2831858407079646</v>
      </c>
      <c r="P104" s="396">
        <f t="shared" si="36"/>
        <v>0.7736720554272517</v>
      </c>
      <c r="Q104" s="396">
        <f t="shared" si="36"/>
        <v>0.98152424942263283</v>
      </c>
      <c r="R104" s="396">
        <f t="shared" si="36"/>
        <v>1.6143187066974596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395">
        <v>1</v>
      </c>
      <c r="F105" s="69"/>
      <c r="G105" s="186" t="s">
        <v>262</v>
      </c>
      <c r="H105" s="396">
        <f t="shared" ref="H105:R105" si="37">-H6/((H38+H41-H45+H47)/12)</f>
        <v>1.8316796976537753</v>
      </c>
      <c r="I105" s="396">
        <f t="shared" si="37"/>
        <v>1.2480869134099286</v>
      </c>
      <c r="J105" s="396">
        <f t="shared" si="37"/>
        <v>1.4163814660287348</v>
      </c>
      <c r="K105" s="396">
        <f t="shared" si="37"/>
        <v>3.3493457365277601</v>
      </c>
      <c r="L105" s="396">
        <f t="shared" si="37"/>
        <v>3.3430909616454603</v>
      </c>
      <c r="M105" s="396">
        <f t="shared" si="37"/>
        <v>4.9526612546125461</v>
      </c>
      <c r="N105" s="396">
        <f t="shared" si="37"/>
        <v>2.0967423494570583</v>
      </c>
      <c r="O105" s="396">
        <f t="shared" si="37"/>
        <v>0.89388871997567654</v>
      </c>
      <c r="P105" s="396">
        <f t="shared" si="37"/>
        <v>0.48821548821548821</v>
      </c>
      <c r="Q105" s="396">
        <f t="shared" si="37"/>
        <v>0.74445617740232306</v>
      </c>
      <c r="R105" s="396">
        <f t="shared" si="37"/>
        <v>1.5171385991058122</v>
      </c>
    </row>
    <row r="106" spans="1:18" x14ac:dyDescent="0.2">
      <c r="C106" s="16"/>
      <c r="F106" s="69"/>
      <c r="G106" s="68" t="s">
        <v>263</v>
      </c>
      <c r="H106" s="383">
        <f t="shared" ref="H106:R106" si="38">H95</f>
        <v>2011</v>
      </c>
      <c r="I106" s="383">
        <f t="shared" si="38"/>
        <v>2012</v>
      </c>
      <c r="J106" s="383">
        <f t="shared" si="38"/>
        <v>2013</v>
      </c>
      <c r="K106" s="383">
        <f t="shared" si="38"/>
        <v>2014</v>
      </c>
      <c r="L106" s="383">
        <f t="shared" si="38"/>
        <v>2015</v>
      </c>
      <c r="M106" s="383">
        <f t="shared" si="38"/>
        <v>2016</v>
      </c>
      <c r="N106" s="383">
        <f t="shared" si="38"/>
        <v>2017</v>
      </c>
      <c r="O106" s="383">
        <f t="shared" si="38"/>
        <v>2018</v>
      </c>
      <c r="P106" s="383">
        <f t="shared" si="38"/>
        <v>2019</v>
      </c>
      <c r="Q106" s="383">
        <f t="shared" si="38"/>
        <v>2020</v>
      </c>
      <c r="R106" s="383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388">
        <v>0.6</v>
      </c>
      <c r="F107" s="69"/>
      <c r="G107" s="377" t="s">
        <v>267</v>
      </c>
      <c r="H107" s="394">
        <f t="shared" ref="H107:R107" si="39">H17/H4</f>
        <v>0</v>
      </c>
      <c r="I107" s="394">
        <f t="shared" si="39"/>
        <v>0</v>
      </c>
      <c r="J107" s="394">
        <f t="shared" si="39"/>
        <v>0</v>
      </c>
      <c r="K107" s="394">
        <f t="shared" si="39"/>
        <v>0</v>
      </c>
      <c r="L107" s="394">
        <f t="shared" si="39"/>
        <v>0</v>
      </c>
      <c r="M107" s="394">
        <f t="shared" si="39"/>
        <v>0</v>
      </c>
      <c r="N107" s="394">
        <f t="shared" si="39"/>
        <v>0</v>
      </c>
      <c r="O107" s="394">
        <f t="shared" si="39"/>
        <v>0</v>
      </c>
      <c r="P107" s="394">
        <f t="shared" si="39"/>
        <v>0</v>
      </c>
      <c r="Q107" s="394">
        <f t="shared" si="39"/>
        <v>0</v>
      </c>
      <c r="R107" s="394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388">
        <v>0.4</v>
      </c>
      <c r="F108" s="69"/>
      <c r="G108" s="186" t="s">
        <v>271</v>
      </c>
      <c r="H108" s="394" t="e">
        <f t="shared" ref="H108:R108" si="40">H27/H17</f>
        <v>#DIV/0!</v>
      </c>
      <c r="I108" s="394" t="e">
        <f t="shared" si="40"/>
        <v>#DIV/0!</v>
      </c>
      <c r="J108" s="394" t="e">
        <f t="shared" si="40"/>
        <v>#DIV/0!</v>
      </c>
      <c r="K108" s="394" t="e">
        <f t="shared" si="40"/>
        <v>#DIV/0!</v>
      </c>
      <c r="L108" s="394" t="e">
        <f t="shared" si="40"/>
        <v>#DIV/0!</v>
      </c>
      <c r="M108" s="394" t="e">
        <f t="shared" si="40"/>
        <v>#DIV/0!</v>
      </c>
      <c r="N108" s="394" t="e">
        <f t="shared" si="40"/>
        <v>#DIV/0!</v>
      </c>
      <c r="O108" s="394" t="e">
        <f t="shared" si="40"/>
        <v>#DIV/0!</v>
      </c>
      <c r="P108" s="394" t="e">
        <f t="shared" si="40"/>
        <v>#DIV/0!</v>
      </c>
      <c r="Q108" s="394" t="e">
        <f t="shared" si="40"/>
        <v>#DIV/0!</v>
      </c>
      <c r="R108" s="394" t="e">
        <f t="shared" si="40"/>
        <v>#DIV/0!</v>
      </c>
    </row>
    <row r="109" spans="1:18" x14ac:dyDescent="0.2">
      <c r="C109" s="16"/>
      <c r="F109" s="69"/>
      <c r="G109" s="198" t="s">
        <v>272</v>
      </c>
      <c r="H109" s="383">
        <f t="shared" ref="H109:R109" si="41">H95</f>
        <v>2011</v>
      </c>
      <c r="I109" s="383">
        <f t="shared" si="41"/>
        <v>2012</v>
      </c>
      <c r="J109" s="383">
        <f t="shared" si="41"/>
        <v>2013</v>
      </c>
      <c r="K109" s="383">
        <f t="shared" si="41"/>
        <v>2014</v>
      </c>
      <c r="L109" s="383">
        <f t="shared" si="41"/>
        <v>2015</v>
      </c>
      <c r="M109" s="383">
        <f t="shared" si="41"/>
        <v>2016</v>
      </c>
      <c r="N109" s="383">
        <f t="shared" si="41"/>
        <v>2017</v>
      </c>
      <c r="O109" s="383">
        <f t="shared" si="41"/>
        <v>2018</v>
      </c>
      <c r="P109" s="383">
        <f t="shared" si="41"/>
        <v>2019</v>
      </c>
      <c r="Q109" s="383">
        <f t="shared" si="41"/>
        <v>2020</v>
      </c>
      <c r="R109" s="383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386"/>
      <c r="F110" s="69"/>
      <c r="G110" s="18" t="s">
        <v>276</v>
      </c>
      <c r="H110" s="397">
        <f t="shared" ref="H110:R110" si="42">H10/H4</f>
        <v>0.88208824814329401</v>
      </c>
      <c r="I110" s="397">
        <f t="shared" si="42"/>
        <v>0.88665230406623741</v>
      </c>
      <c r="J110" s="397">
        <f t="shared" si="42"/>
        <v>0.89490775684218715</v>
      </c>
      <c r="K110" s="397">
        <f t="shared" si="42"/>
        <v>0.90973621068146071</v>
      </c>
      <c r="L110" s="397">
        <f t="shared" si="42"/>
        <v>0.91550486674309139</v>
      </c>
      <c r="M110" s="397">
        <f t="shared" si="42"/>
        <v>0.88207502008500216</v>
      </c>
      <c r="N110" s="397">
        <f t="shared" si="42"/>
        <v>0.92978868438991136</v>
      </c>
      <c r="O110" s="397">
        <f t="shared" si="42"/>
        <v>0.95799130854659587</v>
      </c>
      <c r="P110" s="397">
        <f t="shared" si="42"/>
        <v>0.98271413828689369</v>
      </c>
      <c r="Q110" s="397">
        <f t="shared" si="42"/>
        <v>0.98546263040875659</v>
      </c>
      <c r="R110" s="397">
        <f t="shared" si="42"/>
        <v>0.97627613358674992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386"/>
      <c r="F111" s="69"/>
      <c r="G111" s="18" t="s">
        <v>280</v>
      </c>
      <c r="H111" s="397">
        <f t="shared" ref="H111:R111" si="43">-(H58)/H15</f>
        <v>2.9974880928026772E-2</v>
      </c>
      <c r="I111" s="397">
        <f t="shared" si="43"/>
        <v>4.2878279232463956E-2</v>
      </c>
      <c r="J111" s="397">
        <f t="shared" si="43"/>
        <v>0.17005568243881949</v>
      </c>
      <c r="K111" s="397">
        <f t="shared" si="43"/>
        <v>8.3067776077773076E-2</v>
      </c>
      <c r="L111" s="397">
        <f t="shared" si="43"/>
        <v>2.0582434244868362E-2</v>
      </c>
      <c r="M111" s="397">
        <f t="shared" si="43"/>
        <v>2.8436527524412492E-2</v>
      </c>
      <c r="N111" s="397">
        <f t="shared" si="43"/>
        <v>4.2858639840720948E-2</v>
      </c>
      <c r="O111" s="397">
        <f t="shared" si="43"/>
        <v>5.6681795259707513E-2</v>
      </c>
      <c r="P111" s="397">
        <f t="shared" si="43"/>
        <v>0.48923319327731091</v>
      </c>
      <c r="Q111" s="397">
        <f t="shared" si="43"/>
        <v>0.34559972227043917</v>
      </c>
      <c r="R111" s="397">
        <f t="shared" si="43"/>
        <v>5.3894297635605007E-3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386"/>
      <c r="F112" s="69"/>
      <c r="G112" s="377" t="s">
        <v>284</v>
      </c>
      <c r="H112" s="391">
        <f t="shared" ref="H112:R112" si="44">H33/H4</f>
        <v>0.22247715561599868</v>
      </c>
      <c r="I112" s="391">
        <f t="shared" si="44"/>
        <v>0.2665983169268058</v>
      </c>
      <c r="J112" s="391">
        <f t="shared" si="44"/>
        <v>0.2310496309206323</v>
      </c>
      <c r="K112" s="391">
        <f t="shared" si="44"/>
        <v>0.36297825257768374</v>
      </c>
      <c r="L112" s="391">
        <f t="shared" si="44"/>
        <v>0.27118366328134702</v>
      </c>
      <c r="M112" s="391">
        <f t="shared" si="44"/>
        <v>0.31629356307371864</v>
      </c>
      <c r="N112" s="391">
        <f t="shared" si="44"/>
        <v>0.30519037881001071</v>
      </c>
      <c r="O112" s="391">
        <f t="shared" si="44"/>
        <v>0.34205697730564943</v>
      </c>
      <c r="P112" s="391">
        <f t="shared" si="44"/>
        <v>0.65485036119711038</v>
      </c>
      <c r="Q112" s="391">
        <f t="shared" si="44"/>
        <v>0.47316572601334017</v>
      </c>
      <c r="R112" s="391">
        <f t="shared" si="44"/>
        <v>0.15120146619603583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386"/>
      <c r="F113" s="69"/>
      <c r="G113" s="186" t="s">
        <v>288</v>
      </c>
      <c r="H113" s="391">
        <f t="shared" ref="H113:R113" si="45">H33/H15</f>
        <v>0.26181916118175158</v>
      </c>
      <c r="I113" s="391">
        <f t="shared" si="45"/>
        <v>0.3121645869869748</v>
      </c>
      <c r="J113" s="391">
        <f t="shared" si="45"/>
        <v>0.26618935683155559</v>
      </c>
      <c r="K113" s="391">
        <f t="shared" si="45"/>
        <v>0.39919174944211033</v>
      </c>
      <c r="L113" s="391">
        <f t="shared" si="45"/>
        <v>0.29635940770937513</v>
      </c>
      <c r="M113" s="391">
        <f t="shared" si="45"/>
        <v>0.35875598240154521</v>
      </c>
      <c r="N113" s="391">
        <f t="shared" si="45"/>
        <v>0.32840825736141677</v>
      </c>
      <c r="O113" s="391">
        <f t="shared" si="45"/>
        <v>0.3572365103378719</v>
      </c>
      <c r="P113" s="391">
        <f t="shared" si="45"/>
        <v>0.66654411764705879</v>
      </c>
      <c r="Q113" s="391">
        <f t="shared" si="45"/>
        <v>0.48022912688769309</v>
      </c>
      <c r="R113" s="391">
        <f t="shared" si="45"/>
        <v>0.15490264255910988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388">
        <v>0.5</v>
      </c>
      <c r="E114" s="388">
        <f>1/3</f>
        <v>0.33333333333333331</v>
      </c>
      <c r="F114" s="69"/>
      <c r="G114" s="18" t="s">
        <v>292</v>
      </c>
      <c r="H114" s="397">
        <f t="shared" ref="H114:R114" si="46">H27/H4</f>
        <v>0.93280469993839943</v>
      </c>
      <c r="I114" s="397">
        <f t="shared" si="46"/>
        <v>0.93215107798104213</v>
      </c>
      <c r="J114" s="397">
        <f t="shared" si="46"/>
        <v>0.86200091183417438</v>
      </c>
      <c r="K114" s="397">
        <f t="shared" si="46"/>
        <v>0.95374077361107679</v>
      </c>
      <c r="L114" s="397">
        <f t="shared" si="46"/>
        <v>0.95063537045871516</v>
      </c>
      <c r="M114" s="397">
        <f t="shared" si="46"/>
        <v>0.94953953027395455</v>
      </c>
      <c r="N114" s="397">
        <f t="shared" si="46"/>
        <v>0.9686434901158828</v>
      </c>
      <c r="O114" s="397">
        <f t="shared" si="46"/>
        <v>0.96668276195074843</v>
      </c>
      <c r="P114" s="397">
        <f t="shared" si="46"/>
        <v>0.97765737874097003</v>
      </c>
      <c r="Q114" s="397">
        <f t="shared" si="46"/>
        <v>0.98518898580468617</v>
      </c>
      <c r="R114" s="397">
        <f t="shared" si="46"/>
        <v>0.98530409991854462</v>
      </c>
    </row>
    <row r="115" spans="1:19" x14ac:dyDescent="0.2">
      <c r="A115" s="77"/>
      <c r="C115" s="77"/>
      <c r="D115" s="78"/>
      <c r="E115" s="79"/>
      <c r="F115" s="69"/>
      <c r="G115" s="375" t="s">
        <v>293</v>
      </c>
      <c r="H115" s="383">
        <f t="shared" ref="H115:R115" si="47">H109</f>
        <v>2011</v>
      </c>
      <c r="I115" s="383">
        <f t="shared" si="47"/>
        <v>2012</v>
      </c>
      <c r="J115" s="383">
        <f t="shared" si="47"/>
        <v>2013</v>
      </c>
      <c r="K115" s="383">
        <f t="shared" si="47"/>
        <v>2014</v>
      </c>
      <c r="L115" s="383">
        <f t="shared" si="47"/>
        <v>2015</v>
      </c>
      <c r="M115" s="383">
        <f t="shared" si="47"/>
        <v>2016</v>
      </c>
      <c r="N115" s="383">
        <f t="shared" si="47"/>
        <v>2017</v>
      </c>
      <c r="O115" s="383">
        <f t="shared" si="47"/>
        <v>2018</v>
      </c>
      <c r="P115" s="383">
        <f t="shared" si="47"/>
        <v>2019</v>
      </c>
      <c r="Q115" s="383">
        <f t="shared" si="47"/>
        <v>2020</v>
      </c>
      <c r="R115" s="383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388">
        <v>0.05</v>
      </c>
      <c r="G116" s="377" t="s">
        <v>297</v>
      </c>
      <c r="H116" s="390">
        <f t="shared" ref="H116:R116" si="48">H35/H33</f>
        <v>0.70395889271946288</v>
      </c>
      <c r="I116" s="390">
        <f t="shared" si="48"/>
        <v>0.56793206048406231</v>
      </c>
      <c r="J116" s="390">
        <f t="shared" si="48"/>
        <v>0.5913446562729332</v>
      </c>
      <c r="K116" s="390">
        <f t="shared" si="48"/>
        <v>0.25007214071008171</v>
      </c>
      <c r="L116" s="390">
        <f t="shared" si="48"/>
        <v>0.3505020274008171</v>
      </c>
      <c r="M116" s="390">
        <f t="shared" si="48"/>
        <v>0.34307964682238556</v>
      </c>
      <c r="N116" s="390">
        <f t="shared" si="48"/>
        <v>0.36024250159540522</v>
      </c>
      <c r="O116" s="390">
        <f t="shared" si="48"/>
        <v>0.35064935064935066</v>
      </c>
      <c r="P116" s="390">
        <f t="shared" si="48"/>
        <v>0.10763533212512805</v>
      </c>
      <c r="Q116" s="390">
        <f t="shared" si="48"/>
        <v>0.10865322055953155</v>
      </c>
      <c r="R116" s="390">
        <f t="shared" si="48"/>
        <v>0.37104377104377106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388">
        <v>0.95</v>
      </c>
      <c r="G117" s="18" t="s">
        <v>301</v>
      </c>
      <c r="H117" s="397">
        <f t="shared" ref="H117:R117" si="49">(H36+H34)/H33</f>
        <v>0.29604110728053717</v>
      </c>
      <c r="I117" s="397">
        <f t="shared" si="49"/>
        <v>0.43206793951593775</v>
      </c>
      <c r="J117" s="397">
        <f t="shared" si="49"/>
        <v>0.40865534372706686</v>
      </c>
      <c r="K117" s="397">
        <f t="shared" si="49"/>
        <v>0.74631498737842972</v>
      </c>
      <c r="L117" s="397">
        <f t="shared" si="49"/>
        <v>0.64935538536661153</v>
      </c>
      <c r="M117" s="397">
        <f t="shared" si="49"/>
        <v>0.65684647290493348</v>
      </c>
      <c r="N117" s="397">
        <f t="shared" si="49"/>
        <v>0.63975749840459473</v>
      </c>
      <c r="O117" s="397">
        <f t="shared" si="49"/>
        <v>0.64935064935064934</v>
      </c>
      <c r="P117" s="397">
        <f t="shared" si="49"/>
        <v>0.89236466787487201</v>
      </c>
      <c r="Q117" s="397">
        <f t="shared" si="49"/>
        <v>0.89134677944046847</v>
      </c>
      <c r="R117" s="397">
        <f t="shared" si="49"/>
        <v>0.62895622895622894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388">
        <v>0.95</v>
      </c>
      <c r="G118" s="186" t="s">
        <v>305</v>
      </c>
      <c r="H118" s="390">
        <f t="shared" ref="H118:R118" si="50">H38/(H38+H41)</f>
        <v>5.9663245373829152E-2</v>
      </c>
      <c r="I118" s="390">
        <f t="shared" si="50"/>
        <v>0.1530374150322342</v>
      </c>
      <c r="J118" s="390">
        <f t="shared" si="50"/>
        <v>0.19338748863386729</v>
      </c>
      <c r="K118" s="390">
        <f t="shared" si="50"/>
        <v>7.0653625454601077E-2</v>
      </c>
      <c r="L118" s="390">
        <f t="shared" si="50"/>
        <v>3.3458343703390379E-3</v>
      </c>
      <c r="M118" s="390">
        <f t="shared" si="50"/>
        <v>0</v>
      </c>
      <c r="N118" s="390">
        <f t="shared" si="50"/>
        <v>0</v>
      </c>
      <c r="O118" s="390">
        <f t="shared" si="50"/>
        <v>0</v>
      </c>
      <c r="P118" s="390">
        <f t="shared" si="50"/>
        <v>0</v>
      </c>
      <c r="Q118" s="390">
        <f t="shared" si="50"/>
        <v>0</v>
      </c>
      <c r="R118" s="390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375" t="s">
        <v>306</v>
      </c>
      <c r="H119" s="383">
        <f>H115</f>
        <v>2011</v>
      </c>
      <c r="I119" s="383">
        <f t="shared" ref="I119:R119" si="51">I115</f>
        <v>2012</v>
      </c>
      <c r="J119" s="383">
        <f t="shared" si="51"/>
        <v>2013</v>
      </c>
      <c r="K119" s="383">
        <f t="shared" si="51"/>
        <v>2014</v>
      </c>
      <c r="L119" s="383">
        <f t="shared" si="51"/>
        <v>2015</v>
      </c>
      <c r="M119" s="383">
        <f t="shared" si="51"/>
        <v>2016</v>
      </c>
      <c r="N119" s="383">
        <f t="shared" si="51"/>
        <v>2017</v>
      </c>
      <c r="O119" s="383">
        <f t="shared" si="51"/>
        <v>2018</v>
      </c>
      <c r="P119" s="383">
        <f t="shared" si="51"/>
        <v>2019</v>
      </c>
      <c r="Q119" s="383">
        <f t="shared" si="51"/>
        <v>2020</v>
      </c>
      <c r="R119" s="383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398">
        <v>0.5</v>
      </c>
      <c r="E120" s="399" t="s">
        <v>310</v>
      </c>
      <c r="F120" s="4"/>
      <c r="G120" s="377" t="s">
        <v>311</v>
      </c>
      <c r="H120" s="391">
        <f t="shared" ref="H120:R120" si="52">IF(H116&lt;$D$120,$E$120,H35/H4)</f>
        <v>0.15661477212281405</v>
      </c>
      <c r="I120" s="391">
        <f t="shared" si="52"/>
        <v>0.15140973145382389</v>
      </c>
      <c r="J120" s="391">
        <f t="shared" si="52"/>
        <v>0.13662996457874937</v>
      </c>
      <c r="K120" s="391" t="str">
        <f t="shared" si="52"/>
        <v>N/A</v>
      </c>
      <c r="L120" s="391" t="str">
        <f t="shared" si="52"/>
        <v>N/A</v>
      </c>
      <c r="M120" s="391" t="str">
        <f t="shared" si="52"/>
        <v>N/A</v>
      </c>
      <c r="N120" s="391" t="str">
        <f t="shared" si="52"/>
        <v>N/A</v>
      </c>
      <c r="O120" s="391" t="str">
        <f t="shared" si="52"/>
        <v>N/A</v>
      </c>
      <c r="P120" s="391" t="str">
        <f t="shared" si="52"/>
        <v>N/A</v>
      </c>
      <c r="Q120" s="391" t="str">
        <f t="shared" si="52"/>
        <v>N/A</v>
      </c>
      <c r="R120" s="391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398">
        <v>0.5</v>
      </c>
      <c r="E121" s="399" t="s">
        <v>310</v>
      </c>
      <c r="F121" s="4"/>
      <c r="G121" s="18" t="s">
        <v>315</v>
      </c>
      <c r="H121" s="391">
        <f t="shared" ref="H121:R121" si="53">IF(H116&lt;$D$121,$E$121,H35/H15)</f>
        <v>0.1843099267982444</v>
      </c>
      <c r="I121" s="391">
        <f t="shared" si="53"/>
        <v>0.17728827709766889</v>
      </c>
      <c r="J121" s="391">
        <f t="shared" si="53"/>
        <v>0.1574096537190694</v>
      </c>
      <c r="K121" s="391" t="str">
        <f t="shared" si="53"/>
        <v>N/A</v>
      </c>
      <c r="L121" s="391" t="str">
        <f t="shared" si="53"/>
        <v>N/A</v>
      </c>
      <c r="M121" s="391" t="str">
        <f t="shared" si="53"/>
        <v>N/A</v>
      </c>
      <c r="N121" s="391" t="str">
        <f t="shared" si="53"/>
        <v>N/A</v>
      </c>
      <c r="O121" s="391" t="str">
        <f t="shared" si="53"/>
        <v>N/A</v>
      </c>
      <c r="P121" s="391" t="str">
        <f t="shared" si="53"/>
        <v>N/A</v>
      </c>
      <c r="Q121" s="391" t="str">
        <f t="shared" si="53"/>
        <v>N/A</v>
      </c>
      <c r="R121" s="391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398">
        <v>0.5</v>
      </c>
      <c r="E122" s="399" t="s">
        <v>310</v>
      </c>
      <c r="F122" s="4"/>
      <c r="G122" s="377" t="s">
        <v>318</v>
      </c>
      <c r="H122" s="397">
        <f t="shared" ref="H122:R122" si="54">IF(H116&lt;$D$122,$E$122,H46/H33)</f>
        <v>-0.62652862358968975</v>
      </c>
      <c r="I122" s="397">
        <f t="shared" si="54"/>
        <v>-0.56594009881864982</v>
      </c>
      <c r="J122" s="397">
        <f t="shared" si="54"/>
        <v>-0.6192214995063593</v>
      </c>
      <c r="K122" s="397" t="str">
        <f t="shared" si="54"/>
        <v>N/A</v>
      </c>
      <c r="L122" s="397" t="str">
        <f t="shared" si="54"/>
        <v>N/A</v>
      </c>
      <c r="M122" s="397" t="str">
        <f t="shared" si="54"/>
        <v>N/A</v>
      </c>
      <c r="N122" s="397" t="str">
        <f t="shared" si="54"/>
        <v>N/A</v>
      </c>
      <c r="O122" s="397" t="str">
        <f t="shared" si="54"/>
        <v>N/A</v>
      </c>
      <c r="P122" s="397" t="str">
        <f t="shared" si="54"/>
        <v>N/A</v>
      </c>
      <c r="Q122" s="397" t="str">
        <f t="shared" si="54"/>
        <v>N/A</v>
      </c>
      <c r="R122" s="397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398">
        <v>0.5</v>
      </c>
      <c r="E123" s="399" t="s">
        <v>310</v>
      </c>
      <c r="F123" s="4"/>
      <c r="G123" s="18" t="s">
        <v>322</v>
      </c>
      <c r="H123" s="397">
        <f t="shared" ref="H123:R123" si="55">IF(H116&lt;$D$122,$E$123,H51/H33)</f>
        <v>-0.62652862358968975</v>
      </c>
      <c r="I123" s="397">
        <f t="shared" si="55"/>
        <v>-0.56594009881864982</v>
      </c>
      <c r="J123" s="397">
        <f t="shared" si="55"/>
        <v>-0.6192214995063593</v>
      </c>
      <c r="K123" s="397" t="str">
        <f t="shared" si="55"/>
        <v>N/A</v>
      </c>
      <c r="L123" s="397" t="str">
        <f t="shared" si="55"/>
        <v>N/A</v>
      </c>
      <c r="M123" s="397" t="str">
        <f t="shared" si="55"/>
        <v>N/A</v>
      </c>
      <c r="N123" s="397" t="str">
        <f t="shared" si="55"/>
        <v>N/A</v>
      </c>
      <c r="O123" s="397" t="str">
        <f t="shared" si="55"/>
        <v>N/A</v>
      </c>
      <c r="P123" s="397" t="str">
        <f t="shared" si="55"/>
        <v>N/A</v>
      </c>
      <c r="Q123" s="397" t="str">
        <f t="shared" si="55"/>
        <v>N/A</v>
      </c>
      <c r="R123" s="397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398">
        <v>0.5</v>
      </c>
      <c r="E124" s="399" t="s">
        <v>310</v>
      </c>
      <c r="F124" s="4"/>
      <c r="G124" s="18" t="s">
        <v>326</v>
      </c>
      <c r="H124" s="397">
        <f t="shared" ref="H124:R124" si="56">IF(H116&lt;$D$124,$E$124,H51/H4)</f>
        <v>-0.13938830608824088</v>
      </c>
      <c r="I124" s="397">
        <f t="shared" si="56"/>
        <v>-0.15087867782644221</v>
      </c>
      <c r="J124" s="397">
        <f t="shared" si="56"/>
        <v>-0.1430708989190648</v>
      </c>
      <c r="K124" s="397" t="str">
        <f t="shared" si="56"/>
        <v>N/A</v>
      </c>
      <c r="L124" s="397" t="str">
        <f t="shared" si="56"/>
        <v>N/A</v>
      </c>
      <c r="M124" s="397" t="str">
        <f t="shared" si="56"/>
        <v>N/A</v>
      </c>
      <c r="N124" s="397" t="str">
        <f t="shared" si="56"/>
        <v>N/A</v>
      </c>
      <c r="O124" s="397" t="str">
        <f t="shared" si="56"/>
        <v>N/A</v>
      </c>
      <c r="P124" s="397" t="str">
        <f t="shared" si="56"/>
        <v>N/A</v>
      </c>
      <c r="Q124" s="397" t="str">
        <f t="shared" si="56"/>
        <v>N/A</v>
      </c>
      <c r="R124" s="397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398">
        <v>0.5</v>
      </c>
      <c r="E125" s="399" t="s">
        <v>310</v>
      </c>
      <c r="F125" s="4"/>
      <c r="G125" s="186" t="s">
        <v>330</v>
      </c>
      <c r="H125" s="397">
        <f t="shared" ref="H125:R125" si="57">IF(H116&lt;$D$125,$E$125,H51/H27)</f>
        <v>-0.14942924933530652</v>
      </c>
      <c r="I125" s="397">
        <f t="shared" si="57"/>
        <v>-0.1618607556118824</v>
      </c>
      <c r="J125" s="397">
        <f t="shared" si="57"/>
        <v>-0.16597534521702195</v>
      </c>
      <c r="K125" s="397" t="str">
        <f t="shared" si="57"/>
        <v>N/A</v>
      </c>
      <c r="L125" s="397" t="str">
        <f t="shared" si="57"/>
        <v>N/A</v>
      </c>
      <c r="M125" s="397" t="str">
        <f t="shared" si="57"/>
        <v>N/A</v>
      </c>
      <c r="N125" s="397" t="str">
        <f t="shared" si="57"/>
        <v>N/A</v>
      </c>
      <c r="O125" s="397" t="str">
        <f t="shared" si="57"/>
        <v>N/A</v>
      </c>
      <c r="P125" s="397" t="str">
        <f t="shared" si="57"/>
        <v>N/A</v>
      </c>
      <c r="Q125" s="397" t="str">
        <f t="shared" si="57"/>
        <v>N/A</v>
      </c>
      <c r="R125" s="397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383">
        <f>H119</f>
        <v>2011</v>
      </c>
      <c r="I127" s="383">
        <f t="shared" ref="I127:R127" si="58">I119</f>
        <v>2012</v>
      </c>
      <c r="J127" s="383">
        <f t="shared" si="58"/>
        <v>2013</v>
      </c>
      <c r="K127" s="383">
        <f t="shared" si="58"/>
        <v>2014</v>
      </c>
      <c r="L127" s="383">
        <f t="shared" si="58"/>
        <v>2015</v>
      </c>
      <c r="M127" s="383">
        <f t="shared" si="58"/>
        <v>2016</v>
      </c>
      <c r="N127" s="383">
        <f t="shared" si="58"/>
        <v>2017</v>
      </c>
      <c r="O127" s="383">
        <f t="shared" si="58"/>
        <v>2018</v>
      </c>
      <c r="P127" s="383">
        <f t="shared" si="58"/>
        <v>2019</v>
      </c>
      <c r="Q127" s="383">
        <f t="shared" si="58"/>
        <v>2020</v>
      </c>
      <c r="R127" s="383">
        <f t="shared" si="58"/>
        <v>2021</v>
      </c>
    </row>
    <row r="128" spans="1:19" x14ac:dyDescent="0.2">
      <c r="G128" s="400" t="s">
        <v>331</v>
      </c>
      <c r="H128" s="401">
        <f t="shared" ref="H128:R128" si="59">H33</f>
        <v>1217.1079999999999</v>
      </c>
      <c r="I128" s="401">
        <f t="shared" si="59"/>
        <v>1475.4299999999998</v>
      </c>
      <c r="J128" s="401">
        <f t="shared" si="59"/>
        <v>1515.2719999999999</v>
      </c>
      <c r="K128" s="401">
        <f t="shared" si="59"/>
        <v>3683.7730000000001</v>
      </c>
      <c r="L128" s="401">
        <f t="shared" si="59"/>
        <v>2742.181</v>
      </c>
      <c r="M128" s="401">
        <f t="shared" si="59"/>
        <v>3343.2469999999998</v>
      </c>
      <c r="N128" s="401">
        <f t="shared" si="59"/>
        <v>3134</v>
      </c>
      <c r="O128" s="401">
        <f t="shared" si="59"/>
        <v>3542</v>
      </c>
      <c r="P128" s="401">
        <f t="shared" si="59"/>
        <v>12691</v>
      </c>
      <c r="Q128" s="401">
        <f t="shared" si="59"/>
        <v>13833</v>
      </c>
      <c r="R128" s="401">
        <f t="shared" si="59"/>
        <v>4455</v>
      </c>
    </row>
    <row r="129" spans="3:19" x14ac:dyDescent="0.2">
      <c r="G129" s="400" t="s">
        <v>332</v>
      </c>
      <c r="H129" s="401">
        <f t="shared" ref="H129:R130" si="60">H35</f>
        <v>856.79399999999998</v>
      </c>
      <c r="I129" s="401">
        <f t="shared" si="60"/>
        <v>837.94399999999996</v>
      </c>
      <c r="J129" s="401">
        <f t="shared" si="60"/>
        <v>896.048</v>
      </c>
      <c r="K129" s="401">
        <f t="shared" si="60"/>
        <v>921.20899999999995</v>
      </c>
      <c r="L129" s="401">
        <f t="shared" si="60"/>
        <v>961.14</v>
      </c>
      <c r="M129" s="401">
        <f t="shared" si="60"/>
        <v>1147</v>
      </c>
      <c r="N129" s="401">
        <f t="shared" si="60"/>
        <v>1129</v>
      </c>
      <c r="O129" s="401">
        <f t="shared" si="60"/>
        <v>1242</v>
      </c>
      <c r="P129" s="401">
        <f t="shared" si="60"/>
        <v>1366</v>
      </c>
      <c r="Q129" s="401">
        <f t="shared" si="60"/>
        <v>1503</v>
      </c>
      <c r="R129" s="401">
        <f t="shared" si="60"/>
        <v>1653</v>
      </c>
    </row>
    <row r="130" spans="3:19" x14ac:dyDescent="0.2">
      <c r="G130" s="400" t="s">
        <v>333</v>
      </c>
      <c r="H130" s="401">
        <f t="shared" si="60"/>
        <v>360.31400000000002</v>
      </c>
      <c r="I130" s="401">
        <f t="shared" si="60"/>
        <v>637.48599999999999</v>
      </c>
      <c r="J130" s="401">
        <f t="shared" si="60"/>
        <v>619.22400000000005</v>
      </c>
      <c r="K130" s="401">
        <f t="shared" si="60"/>
        <v>2749.2550000000001</v>
      </c>
      <c r="L130" s="401">
        <f t="shared" si="60"/>
        <v>1780.65</v>
      </c>
      <c r="M130" s="401">
        <f t="shared" si="60"/>
        <v>2196</v>
      </c>
      <c r="N130" s="401">
        <f t="shared" si="60"/>
        <v>2005</v>
      </c>
      <c r="O130" s="401">
        <f t="shared" si="60"/>
        <v>2300</v>
      </c>
      <c r="P130" s="401">
        <f t="shared" si="60"/>
        <v>11325</v>
      </c>
      <c r="Q130" s="401">
        <f t="shared" si="60"/>
        <v>12330</v>
      </c>
      <c r="R130" s="401">
        <f t="shared" si="60"/>
        <v>2802</v>
      </c>
    </row>
    <row r="131" spans="3:19" x14ac:dyDescent="0.2">
      <c r="G131" s="400" t="s">
        <v>334</v>
      </c>
      <c r="H131" s="401">
        <f t="shared" ref="H131:R131" si="61">H38+H41</f>
        <v>-1979.6610000000001</v>
      </c>
      <c r="I131" s="401">
        <f t="shared" si="61"/>
        <v>-2310.4349999999999</v>
      </c>
      <c r="J131" s="401">
        <f t="shared" si="61"/>
        <v>-2453.5609999999997</v>
      </c>
      <c r="K131" s="401">
        <f t="shared" si="61"/>
        <v>-2549.7629999999999</v>
      </c>
      <c r="L131" s="401">
        <f t="shared" si="61"/>
        <v>-2808.567</v>
      </c>
      <c r="M131" s="401">
        <f t="shared" si="61"/>
        <v>-2920</v>
      </c>
      <c r="N131" s="401">
        <f t="shared" si="61"/>
        <v>-3224</v>
      </c>
      <c r="O131" s="401">
        <f t="shared" si="61"/>
        <v>-3478</v>
      </c>
      <c r="P131" s="401">
        <f t="shared" si="61"/>
        <v>-3753</v>
      </c>
      <c r="Q131" s="401">
        <f t="shared" si="61"/>
        <v>-3977</v>
      </c>
      <c r="R131" s="401">
        <f t="shared" si="61"/>
        <v>-4225</v>
      </c>
    </row>
    <row r="132" spans="3:19" x14ac:dyDescent="0.2">
      <c r="G132" s="400" t="s">
        <v>335</v>
      </c>
      <c r="H132" s="401">
        <f t="shared" ref="H132:R132" si="62">H41</f>
        <v>-1861.548</v>
      </c>
      <c r="I132" s="401">
        <f t="shared" si="62"/>
        <v>-1956.8520000000001</v>
      </c>
      <c r="J132" s="401">
        <f t="shared" si="62"/>
        <v>-1979.0729999999999</v>
      </c>
      <c r="K132" s="401">
        <f t="shared" si="62"/>
        <v>-2369.6129999999998</v>
      </c>
      <c r="L132" s="401">
        <f t="shared" si="62"/>
        <v>-2799.17</v>
      </c>
      <c r="M132" s="401">
        <f t="shared" si="62"/>
        <v>-2920</v>
      </c>
      <c r="N132" s="401">
        <f t="shared" si="62"/>
        <v>-3224</v>
      </c>
      <c r="O132" s="401">
        <f t="shared" si="62"/>
        <v>-3478</v>
      </c>
      <c r="P132" s="401">
        <f t="shared" si="62"/>
        <v>-3753</v>
      </c>
      <c r="Q132" s="401">
        <f t="shared" si="62"/>
        <v>-3977</v>
      </c>
      <c r="R132" s="401">
        <f t="shared" si="62"/>
        <v>-4225</v>
      </c>
    </row>
    <row r="133" spans="3:19" x14ac:dyDescent="0.2">
      <c r="G133" s="400" t="s">
        <v>336</v>
      </c>
      <c r="H133" s="401">
        <f t="shared" ref="H133:R133" si="63">H38</f>
        <v>-118.113</v>
      </c>
      <c r="I133" s="401">
        <f t="shared" si="63"/>
        <v>-353.58300000000003</v>
      </c>
      <c r="J133" s="401">
        <f t="shared" si="63"/>
        <v>-474.488</v>
      </c>
      <c r="K133" s="401">
        <f t="shared" si="63"/>
        <v>-180.15</v>
      </c>
      <c r="L133" s="401">
        <f t="shared" si="63"/>
        <v>-9.3970000000000002</v>
      </c>
      <c r="M133" s="401">
        <f t="shared" si="63"/>
        <v>0</v>
      </c>
      <c r="N133" s="401">
        <f t="shared" si="63"/>
        <v>0</v>
      </c>
      <c r="O133" s="401">
        <f t="shared" si="63"/>
        <v>0</v>
      </c>
      <c r="P133" s="401">
        <f t="shared" si="63"/>
        <v>0</v>
      </c>
      <c r="Q133" s="401">
        <f t="shared" si="63"/>
        <v>0</v>
      </c>
      <c r="R133" s="401">
        <f t="shared" si="63"/>
        <v>0</v>
      </c>
    </row>
    <row r="134" spans="3:19" x14ac:dyDescent="0.2">
      <c r="G134" s="400" t="s">
        <v>337</v>
      </c>
      <c r="H134" s="401">
        <f t="shared" ref="H134:R134" si="64">H46</f>
        <v>-762.55300000000011</v>
      </c>
      <c r="I134" s="401">
        <f t="shared" si="64"/>
        <v>-835.00500000000034</v>
      </c>
      <c r="J134" s="401">
        <f t="shared" si="64"/>
        <v>-938.28899999999999</v>
      </c>
      <c r="K134" s="401">
        <f t="shared" si="64"/>
        <v>1134.0100000000002</v>
      </c>
      <c r="L134" s="401">
        <f t="shared" si="64"/>
        <v>-66.385999999999967</v>
      </c>
      <c r="M134" s="401">
        <f t="shared" si="64"/>
        <v>423.24699999999984</v>
      </c>
      <c r="N134" s="401">
        <f t="shared" si="64"/>
        <v>-90</v>
      </c>
      <c r="O134" s="401">
        <f t="shared" si="64"/>
        <v>64</v>
      </c>
      <c r="P134" s="401">
        <f t="shared" si="64"/>
        <v>8938</v>
      </c>
      <c r="Q134" s="401">
        <f t="shared" si="64"/>
        <v>9856</v>
      </c>
      <c r="R134" s="401">
        <f t="shared" si="64"/>
        <v>230</v>
      </c>
    </row>
    <row r="135" spans="3:19" x14ac:dyDescent="0.2">
      <c r="G135" s="400" t="s">
        <v>338</v>
      </c>
      <c r="H135" s="401">
        <f t="shared" ref="H135:R135" si="65">H51</f>
        <v>-762.55300000000011</v>
      </c>
      <c r="I135" s="401">
        <f t="shared" si="65"/>
        <v>-835.00500000000034</v>
      </c>
      <c r="J135" s="401">
        <f t="shared" si="65"/>
        <v>-938.28899999999999</v>
      </c>
      <c r="K135" s="401">
        <f t="shared" si="65"/>
        <v>1133.1090000000002</v>
      </c>
      <c r="L135" s="401">
        <f t="shared" si="65"/>
        <v>-66.519999999999968</v>
      </c>
      <c r="M135" s="401">
        <f t="shared" si="65"/>
        <v>424.24699999999984</v>
      </c>
      <c r="N135" s="401">
        <f t="shared" si="65"/>
        <v>-90</v>
      </c>
      <c r="O135" s="401">
        <f t="shared" si="65"/>
        <v>63</v>
      </c>
      <c r="P135" s="401">
        <f t="shared" si="65"/>
        <v>8937</v>
      </c>
      <c r="Q135" s="401">
        <f t="shared" si="65"/>
        <v>9855</v>
      </c>
      <c r="R135" s="401">
        <f t="shared" si="65"/>
        <v>229</v>
      </c>
    </row>
    <row r="136" spans="3:19" x14ac:dyDescent="0.2">
      <c r="G136" s="400" t="s">
        <v>339</v>
      </c>
      <c r="H136" s="401">
        <f t="shared" ref="H136:R137" si="66">H4</f>
        <v>5470.7099999999991</v>
      </c>
      <c r="I136" s="401">
        <f t="shared" si="66"/>
        <v>5534.2809999999999</v>
      </c>
      <c r="J136" s="401">
        <f t="shared" si="66"/>
        <v>6558.21</v>
      </c>
      <c r="K136" s="401">
        <f t="shared" si="66"/>
        <v>10148.743</v>
      </c>
      <c r="L136" s="401">
        <f t="shared" si="66"/>
        <v>10111.896000000001</v>
      </c>
      <c r="M136" s="401">
        <f t="shared" si="66"/>
        <v>10570.076000000001</v>
      </c>
      <c r="N136" s="401">
        <f t="shared" si="66"/>
        <v>10269</v>
      </c>
      <c r="O136" s="401">
        <f t="shared" si="66"/>
        <v>10355</v>
      </c>
      <c r="P136" s="401">
        <f t="shared" si="66"/>
        <v>19380</v>
      </c>
      <c r="Q136" s="401">
        <f t="shared" si="66"/>
        <v>29235</v>
      </c>
      <c r="R136" s="401">
        <f t="shared" si="66"/>
        <v>29464</v>
      </c>
    </row>
    <row r="137" spans="3:19" x14ac:dyDescent="0.2">
      <c r="G137" s="400" t="s">
        <v>340</v>
      </c>
      <c r="H137" s="401">
        <f t="shared" si="66"/>
        <v>645.06100000000004</v>
      </c>
      <c r="I137" s="401">
        <f t="shared" si="66"/>
        <v>627.298</v>
      </c>
      <c r="J137" s="401">
        <f t="shared" si="66"/>
        <v>689.21699999999998</v>
      </c>
      <c r="K137" s="401">
        <f t="shared" si="66"/>
        <v>916.06399999999996</v>
      </c>
      <c r="L137" s="401">
        <f t="shared" si="66"/>
        <v>854.40599999999995</v>
      </c>
      <c r="M137" s="401">
        <f t="shared" si="66"/>
        <v>1246.4760000000001</v>
      </c>
      <c r="N137" s="401">
        <f t="shared" si="66"/>
        <v>721</v>
      </c>
      <c r="O137" s="401">
        <f t="shared" si="66"/>
        <v>435</v>
      </c>
      <c r="P137" s="401">
        <f t="shared" si="66"/>
        <v>335</v>
      </c>
      <c r="Q137" s="401">
        <f t="shared" si="66"/>
        <v>425</v>
      </c>
      <c r="R137" s="401">
        <f t="shared" si="66"/>
        <v>699</v>
      </c>
    </row>
    <row r="138" spans="3:19" x14ac:dyDescent="0.2">
      <c r="G138" s="400" t="s">
        <v>341</v>
      </c>
      <c r="H138" s="401">
        <f t="shared" ref="H138:R138" si="67">H10</f>
        <v>4825.6489999999994</v>
      </c>
      <c r="I138" s="401">
        <f t="shared" si="67"/>
        <v>4906.9830000000002</v>
      </c>
      <c r="J138" s="401">
        <f t="shared" si="67"/>
        <v>5868.9930000000004</v>
      </c>
      <c r="K138" s="401">
        <f t="shared" si="67"/>
        <v>9232.6790000000001</v>
      </c>
      <c r="L138" s="401">
        <f t="shared" si="67"/>
        <v>9257.49</v>
      </c>
      <c r="M138" s="401">
        <f t="shared" si="67"/>
        <v>9323.6</v>
      </c>
      <c r="N138" s="401">
        <f t="shared" si="67"/>
        <v>9548</v>
      </c>
      <c r="O138" s="401">
        <f t="shared" si="67"/>
        <v>9920</v>
      </c>
      <c r="P138" s="401">
        <f t="shared" si="67"/>
        <v>19045</v>
      </c>
      <c r="Q138" s="401">
        <f t="shared" si="67"/>
        <v>28810</v>
      </c>
      <c r="R138" s="401">
        <f t="shared" si="67"/>
        <v>28765</v>
      </c>
    </row>
    <row r="139" spans="3:19" x14ac:dyDescent="0.2">
      <c r="G139" s="400" t="s">
        <v>342</v>
      </c>
      <c r="H139" s="401">
        <f t="shared" ref="H139:R140" si="68">H19</f>
        <v>367.60700000000003</v>
      </c>
      <c r="I139" s="401">
        <f t="shared" si="68"/>
        <v>375.49400000000003</v>
      </c>
      <c r="J139" s="401">
        <f t="shared" si="68"/>
        <v>905.02700000000004</v>
      </c>
      <c r="K139" s="401">
        <f t="shared" si="68"/>
        <v>469.47300000000001</v>
      </c>
      <c r="L139" s="401">
        <f t="shared" si="68"/>
        <v>499.16900000000004</v>
      </c>
      <c r="M139" s="401">
        <f t="shared" si="68"/>
        <v>533</v>
      </c>
      <c r="N139" s="401">
        <f t="shared" si="68"/>
        <v>322</v>
      </c>
      <c r="O139" s="401">
        <f t="shared" si="68"/>
        <v>345</v>
      </c>
      <c r="P139" s="401">
        <f t="shared" si="68"/>
        <v>433</v>
      </c>
      <c r="Q139" s="401">
        <f t="shared" si="68"/>
        <v>433</v>
      </c>
      <c r="R139" s="401">
        <f t="shared" si="68"/>
        <v>433</v>
      </c>
    </row>
    <row r="140" spans="3:19" x14ac:dyDescent="0.2">
      <c r="G140" s="400" t="s">
        <v>343</v>
      </c>
      <c r="H140" s="401">
        <f t="shared" si="68"/>
        <v>367.60700000000003</v>
      </c>
      <c r="I140" s="401">
        <f t="shared" si="68"/>
        <v>375.495</v>
      </c>
      <c r="J140" s="401">
        <f t="shared" si="68"/>
        <v>905.02700000000004</v>
      </c>
      <c r="K140" s="401">
        <f t="shared" si="68"/>
        <v>442.358</v>
      </c>
      <c r="L140" s="401">
        <f t="shared" si="68"/>
        <v>476.54599999999999</v>
      </c>
      <c r="M140" s="401">
        <f t="shared" si="68"/>
        <v>515</v>
      </c>
      <c r="N140" s="401">
        <f t="shared" si="68"/>
        <v>316</v>
      </c>
      <c r="O140" s="401">
        <f t="shared" si="68"/>
        <v>339</v>
      </c>
      <c r="P140" s="401">
        <f t="shared" si="68"/>
        <v>433</v>
      </c>
      <c r="Q140" s="401">
        <f t="shared" si="68"/>
        <v>433</v>
      </c>
      <c r="R140" s="401">
        <f t="shared" si="68"/>
        <v>433</v>
      </c>
    </row>
    <row r="141" spans="3:19" x14ac:dyDescent="0.2">
      <c r="G141" s="400" t="s">
        <v>344</v>
      </c>
      <c r="H141" s="401">
        <f t="shared" ref="H141:R141" si="69">H24</f>
        <v>0</v>
      </c>
      <c r="I141" s="401">
        <f t="shared" si="69"/>
        <v>125.985</v>
      </c>
      <c r="J141" s="401">
        <f t="shared" si="69"/>
        <v>0</v>
      </c>
      <c r="K141" s="401">
        <f t="shared" si="69"/>
        <v>31.445</v>
      </c>
      <c r="L141" s="401">
        <f t="shared" si="69"/>
        <v>27.114999999999998</v>
      </c>
      <c r="M141" s="401">
        <f t="shared" si="69"/>
        <v>23</v>
      </c>
      <c r="N141" s="401">
        <f t="shared" si="69"/>
        <v>18</v>
      </c>
      <c r="O141" s="401">
        <f t="shared" si="69"/>
        <v>13</v>
      </c>
      <c r="P141" s="401">
        <f t="shared" si="69"/>
        <v>0</v>
      </c>
      <c r="Q141" s="401">
        <f t="shared" si="69"/>
        <v>0</v>
      </c>
      <c r="R141" s="401">
        <f t="shared" si="69"/>
        <v>0</v>
      </c>
    </row>
    <row r="142" spans="3:19" x14ac:dyDescent="0.2">
      <c r="G142" s="400" t="s">
        <v>345</v>
      </c>
      <c r="H142" s="401">
        <f t="shared" ref="H142:R142" si="70">H27</f>
        <v>5103.1040000000003</v>
      </c>
      <c r="I142" s="401">
        <f t="shared" si="70"/>
        <v>5158.7860000000001</v>
      </c>
      <c r="J142" s="401">
        <f t="shared" si="70"/>
        <v>5653.1830000000009</v>
      </c>
      <c r="K142" s="401">
        <f t="shared" si="70"/>
        <v>9679.27</v>
      </c>
      <c r="L142" s="401">
        <f t="shared" si="70"/>
        <v>9612.7260000000006</v>
      </c>
      <c r="M142" s="401">
        <f t="shared" si="70"/>
        <v>10036.705000000002</v>
      </c>
      <c r="N142" s="401">
        <f t="shared" si="70"/>
        <v>9947</v>
      </c>
      <c r="O142" s="401">
        <f t="shared" si="70"/>
        <v>10010</v>
      </c>
      <c r="P142" s="401">
        <f t="shared" si="70"/>
        <v>18947</v>
      </c>
      <c r="Q142" s="401">
        <f t="shared" si="70"/>
        <v>28802</v>
      </c>
      <c r="R142" s="401">
        <f t="shared" si="70"/>
        <v>29031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101" priority="51" stopIfTrue="1" operator="greaterThan">
      <formula>$E$116</formula>
    </cfRule>
    <cfRule type="cellIs" dxfId="1100" priority="52" stopIfTrue="1" operator="lessThanOrEqual">
      <formula>$E$116</formula>
    </cfRule>
  </conditionalFormatting>
  <conditionalFormatting sqref="H118:Q118">
    <cfRule type="cellIs" dxfId="1099" priority="49" stopIfTrue="1" operator="lessThanOrEqual">
      <formula>$E$118</formula>
    </cfRule>
    <cfRule type="cellIs" dxfId="1098" priority="50" stopIfTrue="1" operator="greaterThan">
      <formula>$E$118</formula>
    </cfRule>
  </conditionalFormatting>
  <conditionalFormatting sqref="H99:Q99">
    <cfRule type="cellIs" dxfId="1097" priority="47" operator="greaterThan">
      <formula>$E$99</formula>
    </cfRule>
    <cfRule type="cellIs" dxfId="1096" priority="48" operator="lessThanOrEqual">
      <formula>$E$99</formula>
    </cfRule>
  </conditionalFormatting>
  <conditionalFormatting sqref="H102:Q102">
    <cfRule type="cellIs" dxfId="1095" priority="45" stopIfTrue="1" operator="greaterThanOrEqual">
      <formula>$E$102</formula>
    </cfRule>
    <cfRule type="cellIs" dxfId="1094" priority="46" stopIfTrue="1" operator="lessThan">
      <formula>$E$102</formula>
    </cfRule>
  </conditionalFormatting>
  <conditionalFormatting sqref="H104:Q104">
    <cfRule type="cellIs" dxfId="1093" priority="43" stopIfTrue="1" operator="lessThan">
      <formula>$E$104</formula>
    </cfRule>
    <cfRule type="cellIs" dxfId="1092" priority="44" stopIfTrue="1" operator="greaterThanOrEqual">
      <formula>$E$104</formula>
    </cfRule>
  </conditionalFormatting>
  <conditionalFormatting sqref="H103:Q103">
    <cfRule type="cellIs" dxfId="1091" priority="41" stopIfTrue="1" operator="greaterThan">
      <formula>$E$103</formula>
    </cfRule>
    <cfRule type="cellIs" dxfId="1090" priority="42" stopIfTrue="1" operator="lessThanOrEqual">
      <formula>$E$103</formula>
    </cfRule>
  </conditionalFormatting>
  <conditionalFormatting sqref="H100:Q100">
    <cfRule type="cellIs" dxfId="1089" priority="30" stopIfTrue="1" operator="between">
      <formula>$D$100</formula>
      <formula>$E$100</formula>
    </cfRule>
    <cfRule type="cellIs" dxfId="1088" priority="39" stopIfTrue="1" operator="lessThanOrEqual">
      <formula>$D$100</formula>
    </cfRule>
    <cfRule type="cellIs" dxfId="1087" priority="40" stopIfTrue="1" operator="greaterThan">
      <formula>$E$100</formula>
    </cfRule>
  </conditionalFormatting>
  <conditionalFormatting sqref="H117:Q117">
    <cfRule type="cellIs" dxfId="1086" priority="37" stopIfTrue="1" operator="greaterThan">
      <formula>$E$117</formula>
    </cfRule>
    <cfRule type="cellIs" dxfId="1085" priority="38" stopIfTrue="1" operator="lessThanOrEqual">
      <formula>$E$117</formula>
    </cfRule>
  </conditionalFormatting>
  <conditionalFormatting sqref="H107:Q107">
    <cfRule type="cellIs" dxfId="1084" priority="35" stopIfTrue="1" operator="greaterThan">
      <formula>$E$107</formula>
    </cfRule>
    <cfRule type="cellIs" dxfId="1083" priority="36" stopIfTrue="1" operator="lessThanOrEqual">
      <formula>$E$107</formula>
    </cfRule>
  </conditionalFormatting>
  <conditionalFormatting sqref="H108:Q108">
    <cfRule type="cellIs" dxfId="1082" priority="33" stopIfTrue="1" operator="lessThan">
      <formula>$E$108</formula>
    </cfRule>
    <cfRule type="cellIs" dxfId="1081" priority="34" stopIfTrue="1" operator="greaterThanOrEqual">
      <formula>$E$108</formula>
    </cfRule>
  </conditionalFormatting>
  <conditionalFormatting sqref="H93:Q93">
    <cfRule type="cellIs" dxfId="1080" priority="53" stopIfTrue="1" operator="lessThan">
      <formula>$D$93</formula>
    </cfRule>
    <cfRule type="cellIs" dxfId="1079" priority="54" stopIfTrue="1" operator="between">
      <formula>$D$93</formula>
      <formula>$E$93</formula>
    </cfRule>
    <cfRule type="cellIs" dxfId="1078" priority="55" stopIfTrue="1" operator="greaterThan">
      <formula>$E$93</formula>
    </cfRule>
  </conditionalFormatting>
  <conditionalFormatting sqref="H114:Q114">
    <cfRule type="cellIs" dxfId="1077" priority="56" stopIfTrue="1" operator="lessThan">
      <formula>$E$114</formula>
    </cfRule>
    <cfRule type="cellIs" dxfId="1076" priority="57" stopIfTrue="1" operator="between">
      <formula>$D$114</formula>
      <formula>$E$114</formula>
    </cfRule>
    <cfRule type="cellIs" dxfId="1075" priority="58" stopIfTrue="1" operator="greaterThanOrEqual">
      <formula>$D$114</formula>
    </cfRule>
  </conditionalFormatting>
  <conditionalFormatting sqref="H90:Q90">
    <cfRule type="cellIs" dxfId="1074" priority="31" stopIfTrue="1" operator="lessThan">
      <formula>$E$90</formula>
    </cfRule>
    <cfRule type="cellIs" dxfId="1073" priority="32" stopIfTrue="1" operator="greaterThan">
      <formula>$E$90</formula>
    </cfRule>
  </conditionalFormatting>
  <conditionalFormatting sqref="R116">
    <cfRule type="cellIs" dxfId="1072" priority="22" stopIfTrue="1" operator="greaterThan">
      <formula>$E$116</formula>
    </cfRule>
    <cfRule type="cellIs" dxfId="1071" priority="23" stopIfTrue="1" operator="lessThanOrEqual">
      <formula>$E$116</formula>
    </cfRule>
  </conditionalFormatting>
  <conditionalFormatting sqref="R118">
    <cfRule type="cellIs" dxfId="1070" priority="20" stopIfTrue="1" operator="lessThanOrEqual">
      <formula>$E$118</formula>
    </cfRule>
    <cfRule type="cellIs" dxfId="1069" priority="21" stopIfTrue="1" operator="greaterThan">
      <formula>$E$118</formula>
    </cfRule>
  </conditionalFormatting>
  <conditionalFormatting sqref="R99">
    <cfRule type="cellIs" dxfId="1068" priority="18" operator="greaterThan">
      <formula>$E$99</formula>
    </cfRule>
    <cfRule type="cellIs" dxfId="1067" priority="19" operator="lessThanOrEqual">
      <formula>$E$99</formula>
    </cfRule>
  </conditionalFormatting>
  <conditionalFormatting sqref="R102">
    <cfRule type="cellIs" dxfId="1066" priority="16" stopIfTrue="1" operator="greaterThanOrEqual">
      <formula>$E$102</formula>
    </cfRule>
    <cfRule type="cellIs" dxfId="1065" priority="17" stopIfTrue="1" operator="lessThan">
      <formula>$E$102</formula>
    </cfRule>
  </conditionalFormatting>
  <conditionalFormatting sqref="R104">
    <cfRule type="cellIs" dxfId="1064" priority="14" stopIfTrue="1" operator="lessThan">
      <formula>$E$104</formula>
    </cfRule>
    <cfRule type="cellIs" dxfId="1063" priority="15" stopIfTrue="1" operator="greaterThanOrEqual">
      <formula>$E$104</formula>
    </cfRule>
  </conditionalFormatting>
  <conditionalFormatting sqref="R103">
    <cfRule type="cellIs" dxfId="1062" priority="12" stopIfTrue="1" operator="greaterThan">
      <formula>$E$103</formula>
    </cfRule>
    <cfRule type="cellIs" dxfId="1061" priority="13" stopIfTrue="1" operator="lessThanOrEqual">
      <formula>$E$103</formula>
    </cfRule>
  </conditionalFormatting>
  <conditionalFormatting sqref="R100">
    <cfRule type="cellIs" dxfId="1060" priority="1" stopIfTrue="1" operator="between">
      <formula>$D$100</formula>
      <formula>$E$100</formula>
    </cfRule>
    <cfRule type="cellIs" dxfId="1059" priority="10" stopIfTrue="1" operator="lessThanOrEqual">
      <formula>$D$100</formula>
    </cfRule>
    <cfRule type="cellIs" dxfId="1058" priority="11" stopIfTrue="1" operator="greaterThan">
      <formula>$E$100</formula>
    </cfRule>
  </conditionalFormatting>
  <conditionalFormatting sqref="R117">
    <cfRule type="cellIs" dxfId="1057" priority="8" stopIfTrue="1" operator="greaterThan">
      <formula>$E$117</formula>
    </cfRule>
    <cfRule type="cellIs" dxfId="1056" priority="9" stopIfTrue="1" operator="lessThanOrEqual">
      <formula>$E$117</formula>
    </cfRule>
  </conditionalFormatting>
  <conditionalFormatting sqref="R107">
    <cfRule type="cellIs" dxfId="1055" priority="6" stopIfTrue="1" operator="greaterThan">
      <formula>$E$107</formula>
    </cfRule>
    <cfRule type="cellIs" dxfId="1054" priority="7" stopIfTrue="1" operator="lessThanOrEqual">
      <formula>$E$107</formula>
    </cfRule>
  </conditionalFormatting>
  <conditionalFormatting sqref="R108">
    <cfRule type="cellIs" dxfId="1053" priority="4" stopIfTrue="1" operator="lessThan">
      <formula>$E$108</formula>
    </cfRule>
    <cfRule type="cellIs" dxfId="1052" priority="5" stopIfTrue="1" operator="greaterThanOrEqual">
      <formula>$E$108</formula>
    </cfRule>
  </conditionalFormatting>
  <conditionalFormatting sqref="R93">
    <cfRule type="cellIs" dxfId="1051" priority="24" stopIfTrue="1" operator="lessThan">
      <formula>$D$93</formula>
    </cfRule>
    <cfRule type="cellIs" dxfId="1050" priority="25" stopIfTrue="1" operator="between">
      <formula>$D$93</formula>
      <formula>$E$93</formula>
    </cfRule>
    <cfRule type="cellIs" dxfId="1049" priority="26" stopIfTrue="1" operator="greaterThan">
      <formula>$E$93</formula>
    </cfRule>
  </conditionalFormatting>
  <conditionalFormatting sqref="R114">
    <cfRule type="cellIs" dxfId="1048" priority="27" stopIfTrue="1" operator="lessThan">
      <formula>$E$114</formula>
    </cfRule>
    <cfRule type="cellIs" dxfId="1047" priority="28" stopIfTrue="1" operator="between">
      <formula>$D$114</formula>
      <formula>$E$114</formula>
    </cfRule>
    <cfRule type="cellIs" dxfId="1046" priority="29" stopIfTrue="1" operator="greaterThanOrEqual">
      <formula>$D$114</formula>
    </cfRule>
  </conditionalFormatting>
  <conditionalFormatting sqref="R90">
    <cfRule type="cellIs" dxfId="1045" priority="2" stopIfTrue="1" operator="lessThan">
      <formula>$E$90</formula>
    </cfRule>
    <cfRule type="cellIs" dxfId="1044" priority="3" stopIfTrue="1" operator="greaterThan">
      <formula>$E$90</formula>
    </cfRule>
  </conditionalFormatting>
  <pageMargins left="0.7" right="0.7" top="0.75" bottom="0.75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30.710937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30.710937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30.710937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30.710937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30.710937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30.710937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30.710937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30.710937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30.710937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30.710937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30.710937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30.710937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30.710937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30.710937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30.710937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30.710937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30.710937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30.710937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30.710937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30.710937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30.710937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30.710937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30.710937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30.710937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30.710937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30.710937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30.710937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30.710937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30.710937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30.710937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30.710937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30.710937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30.710937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30.710937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30.710937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30.710937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30.710937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30.710937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30.710937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30.710937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30.710937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30.710937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30.710937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30.710937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30.710937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30.710937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30.710937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30.710937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30.710937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30.710937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30.710937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30.710937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30.710937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30.710937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30.710937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30.710937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30.710937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30.710937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30.710937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30.710937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30.710937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30.710937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30.710937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30.710937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878" t="s">
        <v>488</v>
      </c>
      <c r="H2" s="879" t="s">
        <v>489</v>
      </c>
      <c r="I2" s="880"/>
      <c r="J2" s="881"/>
      <c r="K2" s="1246" t="s">
        <v>6</v>
      </c>
      <c r="L2" s="1247"/>
      <c r="M2" s="1248" t="s">
        <v>490</v>
      </c>
      <c r="N2" s="1249"/>
      <c r="O2" s="1249"/>
      <c r="P2" s="1249"/>
      <c r="Q2" s="1249"/>
      <c r="R2" s="1250"/>
    </row>
    <row r="3" spans="1:18" x14ac:dyDescent="0.2">
      <c r="A3" s="1"/>
      <c r="B3" s="10"/>
      <c r="C3" s="3"/>
      <c r="D3" s="3"/>
      <c r="E3" s="1"/>
      <c r="F3" s="1"/>
      <c r="G3" s="882" t="s">
        <v>7</v>
      </c>
      <c r="H3" s="883">
        <v>40908</v>
      </c>
      <c r="I3" s="883">
        <v>41274</v>
      </c>
      <c r="J3" s="883">
        <v>41639</v>
      </c>
      <c r="K3" s="883">
        <v>42004</v>
      </c>
      <c r="L3" s="883">
        <v>42369</v>
      </c>
      <c r="M3" s="883">
        <v>42735</v>
      </c>
      <c r="N3" s="883">
        <v>43100</v>
      </c>
      <c r="O3" s="883">
        <v>43465</v>
      </c>
      <c r="P3" s="883">
        <v>43830</v>
      </c>
      <c r="Q3" s="883">
        <v>44196</v>
      </c>
      <c r="R3" s="883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884" t="s">
        <v>9</v>
      </c>
      <c r="H4" s="885">
        <f t="shared" ref="H4:R4" si="0">H5+H10</f>
        <v>0</v>
      </c>
      <c r="I4" s="885">
        <f t="shared" si="0"/>
        <v>3620.4450000000002</v>
      </c>
      <c r="J4" s="885">
        <f t="shared" si="0"/>
        <v>3460.8960000000002</v>
      </c>
      <c r="K4" s="885">
        <f t="shared" si="0"/>
        <v>3280.172</v>
      </c>
      <c r="L4" s="885">
        <f t="shared" si="0"/>
        <v>3553.0310000000004</v>
      </c>
      <c r="M4" s="885">
        <f t="shared" si="0"/>
        <v>3550</v>
      </c>
      <c r="N4" s="885">
        <f t="shared" si="0"/>
        <v>5323</v>
      </c>
      <c r="O4" s="885">
        <f t="shared" si="0"/>
        <v>5423</v>
      </c>
      <c r="P4" s="885">
        <f t="shared" si="0"/>
        <v>4654</v>
      </c>
      <c r="Q4" s="885">
        <f t="shared" si="0"/>
        <v>4331</v>
      </c>
      <c r="R4" s="885">
        <f t="shared" si="0"/>
        <v>3991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885">
        <f t="shared" ref="H5:Q5" si="1">SUM(H6:H9)</f>
        <v>0</v>
      </c>
      <c r="I5" s="885">
        <f t="shared" si="1"/>
        <v>313.976</v>
      </c>
      <c r="J5" s="885">
        <f t="shared" si="1"/>
        <v>282.57799999999997</v>
      </c>
      <c r="K5" s="885">
        <f t="shared" si="1"/>
        <v>206.58200000000002</v>
      </c>
      <c r="L5" s="885">
        <f t="shared" si="1"/>
        <v>612.45799999999997</v>
      </c>
      <c r="M5" s="885">
        <f t="shared" si="1"/>
        <v>756</v>
      </c>
      <c r="N5" s="885">
        <f>SUM(N6:N9)</f>
        <v>222</v>
      </c>
      <c r="O5" s="885">
        <f>SUM(O6:O9)</f>
        <v>645</v>
      </c>
      <c r="P5" s="885">
        <f t="shared" si="1"/>
        <v>189</v>
      </c>
      <c r="Q5" s="885">
        <f t="shared" si="1"/>
        <v>179</v>
      </c>
      <c r="R5" s="885">
        <f>SUM(R6:R9)</f>
        <v>152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886">
        <v>0</v>
      </c>
      <c r="I6" s="886">
        <v>239.215</v>
      </c>
      <c r="J6" s="886">
        <v>198.733</v>
      </c>
      <c r="K6" s="886">
        <v>122.63800000000001</v>
      </c>
      <c r="L6" s="886">
        <v>518.774</v>
      </c>
      <c r="M6" s="886">
        <v>659</v>
      </c>
      <c r="N6" s="886">
        <v>150</v>
      </c>
      <c r="O6" s="886">
        <v>573</v>
      </c>
      <c r="P6" s="886">
        <v>117</v>
      </c>
      <c r="Q6" s="886">
        <v>107</v>
      </c>
      <c r="R6" s="886">
        <v>80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886">
        <v>0</v>
      </c>
      <c r="I7" s="886">
        <v>61.664000000000001</v>
      </c>
      <c r="J7" s="886">
        <v>71.188000000000002</v>
      </c>
      <c r="K7" s="886">
        <v>72.745000000000005</v>
      </c>
      <c r="L7" s="886">
        <v>82.516999999999996</v>
      </c>
      <c r="M7" s="886">
        <v>85</v>
      </c>
      <c r="N7" s="886">
        <v>60</v>
      </c>
      <c r="O7" s="886">
        <v>60</v>
      </c>
      <c r="P7" s="886">
        <v>60</v>
      </c>
      <c r="Q7" s="886">
        <v>60</v>
      </c>
      <c r="R7" s="886">
        <v>60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886">
        <v>0</v>
      </c>
      <c r="I8" s="886">
        <v>0</v>
      </c>
      <c r="J8" s="886">
        <v>0</v>
      </c>
      <c r="K8" s="886">
        <v>0</v>
      </c>
      <c r="L8" s="886">
        <v>0</v>
      </c>
      <c r="M8" s="886">
        <v>0</v>
      </c>
      <c r="N8" s="886">
        <v>0</v>
      </c>
      <c r="O8" s="886">
        <v>0</v>
      </c>
      <c r="P8" s="886">
        <v>0</v>
      </c>
      <c r="Q8" s="886">
        <v>0</v>
      </c>
      <c r="R8" s="886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886">
        <v>0</v>
      </c>
      <c r="I9" s="886">
        <v>13.097</v>
      </c>
      <c r="J9" s="886">
        <v>12.657</v>
      </c>
      <c r="K9" s="886">
        <v>11.199</v>
      </c>
      <c r="L9" s="886">
        <v>11.167</v>
      </c>
      <c r="M9" s="886">
        <v>12</v>
      </c>
      <c r="N9" s="886">
        <v>12</v>
      </c>
      <c r="O9" s="886">
        <v>12</v>
      </c>
      <c r="P9" s="886">
        <v>12</v>
      </c>
      <c r="Q9" s="886">
        <v>12</v>
      </c>
      <c r="R9" s="886">
        <v>12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885">
        <f>SUM(H11:H16)</f>
        <v>0</v>
      </c>
      <c r="I10" s="885">
        <f t="shared" ref="I10:R10" si="2">SUM(I11:I16)</f>
        <v>3306.4690000000001</v>
      </c>
      <c r="J10" s="885">
        <f t="shared" si="2"/>
        <v>3178.3180000000002</v>
      </c>
      <c r="K10" s="885">
        <f t="shared" si="2"/>
        <v>3073.59</v>
      </c>
      <c r="L10" s="885">
        <f t="shared" si="2"/>
        <v>2940.5730000000003</v>
      </c>
      <c r="M10" s="885">
        <f t="shared" si="2"/>
        <v>2794</v>
      </c>
      <c r="N10" s="885">
        <f t="shared" si="2"/>
        <v>5101</v>
      </c>
      <c r="O10" s="885">
        <f t="shared" si="2"/>
        <v>4778</v>
      </c>
      <c r="P10" s="885">
        <f t="shared" si="2"/>
        <v>4465</v>
      </c>
      <c r="Q10" s="885">
        <f t="shared" si="2"/>
        <v>4152</v>
      </c>
      <c r="R10" s="885">
        <f t="shared" si="2"/>
        <v>3839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886">
        <v>0</v>
      </c>
      <c r="I11" s="886">
        <v>0</v>
      </c>
      <c r="J11" s="886">
        <v>0</v>
      </c>
      <c r="K11" s="886">
        <v>0</v>
      </c>
      <c r="L11" s="886">
        <v>0</v>
      </c>
      <c r="M11" s="886">
        <v>0</v>
      </c>
      <c r="N11" s="886">
        <v>0</v>
      </c>
      <c r="O11" s="886">
        <v>0</v>
      </c>
      <c r="P11" s="886">
        <v>0</v>
      </c>
      <c r="Q11" s="886">
        <v>0</v>
      </c>
      <c r="R11" s="886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886">
        <v>0</v>
      </c>
      <c r="I12" s="886">
        <v>0</v>
      </c>
      <c r="J12" s="886">
        <v>0</v>
      </c>
      <c r="K12" s="886">
        <v>0</v>
      </c>
      <c r="L12" s="886">
        <v>0</v>
      </c>
      <c r="M12" s="886">
        <v>0</v>
      </c>
      <c r="N12" s="886">
        <v>0</v>
      </c>
      <c r="O12" s="886">
        <v>0</v>
      </c>
      <c r="P12" s="886">
        <v>0</v>
      </c>
      <c r="Q12" s="886">
        <v>0</v>
      </c>
      <c r="R12" s="886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886">
        <v>0</v>
      </c>
      <c r="I13" s="886">
        <v>0</v>
      </c>
      <c r="J13" s="886">
        <v>0</v>
      </c>
      <c r="K13" s="886">
        <v>0</v>
      </c>
      <c r="L13" s="886">
        <v>0</v>
      </c>
      <c r="M13" s="886">
        <v>0</v>
      </c>
      <c r="N13" s="886">
        <v>0</v>
      </c>
      <c r="O13" s="886">
        <v>0</v>
      </c>
      <c r="P13" s="886">
        <v>0</v>
      </c>
      <c r="Q13" s="886">
        <v>0</v>
      </c>
      <c r="R13" s="886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886">
        <v>0</v>
      </c>
      <c r="I14" s="886">
        <v>142.547</v>
      </c>
      <c r="J14" s="886">
        <v>139.648</v>
      </c>
      <c r="K14" s="886">
        <v>136.74799999999999</v>
      </c>
      <c r="L14" s="886">
        <v>133.84899999999999</v>
      </c>
      <c r="M14" s="886">
        <v>131</v>
      </c>
      <c r="N14" s="886">
        <v>128</v>
      </c>
      <c r="O14" s="886">
        <v>125</v>
      </c>
      <c r="P14" s="886">
        <v>122</v>
      </c>
      <c r="Q14" s="886">
        <v>119</v>
      </c>
      <c r="R14" s="886">
        <v>116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886">
        <v>0</v>
      </c>
      <c r="I15" s="886">
        <v>3163.922</v>
      </c>
      <c r="J15" s="886">
        <v>3038.67</v>
      </c>
      <c r="K15" s="886">
        <v>2936.8420000000001</v>
      </c>
      <c r="L15" s="886">
        <v>2806.7240000000002</v>
      </c>
      <c r="M15" s="886">
        <v>2663</v>
      </c>
      <c r="N15" s="886">
        <v>4973</v>
      </c>
      <c r="O15" s="886">
        <v>4653</v>
      </c>
      <c r="P15" s="886">
        <v>4343</v>
      </c>
      <c r="Q15" s="886">
        <v>4033</v>
      </c>
      <c r="R15" s="886">
        <v>3723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886">
        <v>0</v>
      </c>
      <c r="I16" s="886">
        <v>0</v>
      </c>
      <c r="J16" s="886">
        <v>0</v>
      </c>
      <c r="K16" s="886">
        <v>0</v>
      </c>
      <c r="L16" s="886">
        <v>0</v>
      </c>
      <c r="M16" s="886">
        <v>0</v>
      </c>
      <c r="N16" s="886">
        <v>0</v>
      </c>
      <c r="O16" s="886">
        <v>0</v>
      </c>
      <c r="P16" s="886">
        <v>0</v>
      </c>
      <c r="Q16" s="886">
        <v>0</v>
      </c>
      <c r="R16" s="886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887">
        <v>0</v>
      </c>
      <c r="I17" s="887">
        <v>0</v>
      </c>
      <c r="J17" s="887">
        <v>0</v>
      </c>
      <c r="K17" s="887">
        <v>0</v>
      </c>
      <c r="L17" s="887">
        <v>0</v>
      </c>
      <c r="M17" s="887">
        <v>0</v>
      </c>
      <c r="N17" s="887">
        <v>0</v>
      </c>
      <c r="O17" s="887">
        <v>0</v>
      </c>
      <c r="P17" s="887">
        <v>0</v>
      </c>
      <c r="Q17" s="887">
        <v>0</v>
      </c>
      <c r="R17" s="887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885">
        <f>H19+H27</f>
        <v>0</v>
      </c>
      <c r="I18" s="885">
        <f t="shared" ref="I18:R18" si="3">I19+I27</f>
        <v>3620.444</v>
      </c>
      <c r="J18" s="885">
        <f t="shared" si="3"/>
        <v>3460.8969999999999</v>
      </c>
      <c r="K18" s="885">
        <f t="shared" si="3"/>
        <v>3280.1709999999998</v>
      </c>
      <c r="L18" s="885">
        <f t="shared" si="3"/>
        <v>3553.0319999999992</v>
      </c>
      <c r="M18" s="885">
        <f t="shared" si="3"/>
        <v>3550</v>
      </c>
      <c r="N18" s="885">
        <f t="shared" si="3"/>
        <v>5323</v>
      </c>
      <c r="O18" s="885">
        <f t="shared" si="3"/>
        <v>5423</v>
      </c>
      <c r="P18" s="885">
        <f t="shared" si="3"/>
        <v>4654</v>
      </c>
      <c r="Q18" s="885">
        <f t="shared" si="3"/>
        <v>4331</v>
      </c>
      <c r="R18" s="885">
        <f t="shared" si="3"/>
        <v>3991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885">
        <f>SUM(H21:H26)</f>
        <v>0</v>
      </c>
      <c r="I19" s="885">
        <f t="shared" ref="I19:R19" si="4">SUM(I21:I26)</f>
        <v>253.05600000000001</v>
      </c>
      <c r="J19" s="885">
        <f t="shared" si="4"/>
        <v>282.95599999999996</v>
      </c>
      <c r="K19" s="885">
        <f t="shared" si="4"/>
        <v>280.03000000000003</v>
      </c>
      <c r="L19" s="885">
        <f t="shared" si="4"/>
        <v>539.90300000000002</v>
      </c>
      <c r="M19" s="885">
        <f t="shared" si="4"/>
        <v>590</v>
      </c>
      <c r="N19" s="885">
        <f t="shared" si="4"/>
        <v>2363</v>
      </c>
      <c r="O19" s="885">
        <f t="shared" si="4"/>
        <v>2463</v>
      </c>
      <c r="P19" s="885">
        <f t="shared" si="4"/>
        <v>1694</v>
      </c>
      <c r="Q19" s="885">
        <f t="shared" si="4"/>
        <v>1371</v>
      </c>
      <c r="R19" s="885">
        <f t="shared" si="4"/>
        <v>1031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888">
        <v>0</v>
      </c>
      <c r="I20" s="888">
        <v>253.05600000000001</v>
      </c>
      <c r="J20" s="888">
        <v>282.95599999999996</v>
      </c>
      <c r="K20" s="888">
        <v>280.03000000000003</v>
      </c>
      <c r="L20" s="888">
        <v>539.90300000000002</v>
      </c>
      <c r="M20" s="888">
        <v>590</v>
      </c>
      <c r="N20" s="888">
        <v>963</v>
      </c>
      <c r="O20" s="888">
        <v>600</v>
      </c>
      <c r="P20" s="888">
        <v>1694</v>
      </c>
      <c r="Q20" s="888">
        <v>1371</v>
      </c>
      <c r="R20" s="888">
        <v>1553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886">
        <v>0</v>
      </c>
      <c r="I21" s="886">
        <v>253.05600000000001</v>
      </c>
      <c r="J21" s="886">
        <v>282.95599999999996</v>
      </c>
      <c r="K21" s="886">
        <v>280.03000000000003</v>
      </c>
      <c r="L21" s="886">
        <v>539.90300000000002</v>
      </c>
      <c r="M21" s="886">
        <v>590</v>
      </c>
      <c r="N21" s="886">
        <v>963</v>
      </c>
      <c r="O21" s="886">
        <v>600</v>
      </c>
      <c r="P21" s="886">
        <v>1694</v>
      </c>
      <c r="Q21" s="886">
        <v>1371</v>
      </c>
      <c r="R21" s="886">
        <v>1031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886">
        <v>0</v>
      </c>
      <c r="I22" s="886">
        <v>0</v>
      </c>
      <c r="J22" s="886">
        <v>0</v>
      </c>
      <c r="K22" s="886">
        <v>0</v>
      </c>
      <c r="L22" s="886">
        <v>0</v>
      </c>
      <c r="M22" s="886">
        <v>0</v>
      </c>
      <c r="N22" s="886">
        <v>0</v>
      </c>
      <c r="O22" s="886">
        <v>0</v>
      </c>
      <c r="P22" s="886">
        <v>0</v>
      </c>
      <c r="Q22" s="886">
        <v>0</v>
      </c>
      <c r="R22" s="886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886">
        <v>0</v>
      </c>
      <c r="I23" s="886">
        <v>0</v>
      </c>
      <c r="J23" s="886">
        <v>0</v>
      </c>
      <c r="K23" s="886">
        <v>0</v>
      </c>
      <c r="L23" s="886">
        <v>0</v>
      </c>
      <c r="M23" s="886">
        <v>0</v>
      </c>
      <c r="N23" s="886">
        <v>1400</v>
      </c>
      <c r="O23" s="886">
        <v>1863</v>
      </c>
      <c r="P23" s="886">
        <v>0</v>
      </c>
      <c r="Q23" s="886">
        <v>0</v>
      </c>
      <c r="R23" s="886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886">
        <v>0</v>
      </c>
      <c r="I24" s="886">
        <v>0</v>
      </c>
      <c r="J24" s="886">
        <v>0</v>
      </c>
      <c r="K24" s="886">
        <v>0</v>
      </c>
      <c r="L24" s="886">
        <v>0</v>
      </c>
      <c r="M24" s="886">
        <v>0</v>
      </c>
      <c r="N24" s="886">
        <v>0</v>
      </c>
      <c r="O24" s="886">
        <v>0</v>
      </c>
      <c r="P24" s="886">
        <v>0</v>
      </c>
      <c r="Q24" s="886">
        <v>0</v>
      </c>
      <c r="R24" s="886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886">
        <v>0</v>
      </c>
      <c r="I25" s="886">
        <v>0</v>
      </c>
      <c r="J25" s="886">
        <v>0</v>
      </c>
      <c r="K25" s="886">
        <v>0</v>
      </c>
      <c r="L25" s="886">
        <v>0</v>
      </c>
      <c r="M25" s="886">
        <v>0</v>
      </c>
      <c r="N25" s="886">
        <v>0</v>
      </c>
      <c r="O25" s="886">
        <v>0</v>
      </c>
      <c r="P25" s="886">
        <v>0</v>
      </c>
      <c r="Q25" s="886">
        <v>0</v>
      </c>
      <c r="R25" s="886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886">
        <v>0</v>
      </c>
      <c r="I26" s="886">
        <v>0</v>
      </c>
      <c r="J26" s="886">
        <v>0</v>
      </c>
      <c r="K26" s="886">
        <v>0</v>
      </c>
      <c r="L26" s="886">
        <v>0</v>
      </c>
      <c r="M26" s="886">
        <v>0</v>
      </c>
      <c r="N26" s="886">
        <v>0</v>
      </c>
      <c r="O26" s="886">
        <v>0</v>
      </c>
      <c r="P26" s="886">
        <v>0</v>
      </c>
      <c r="Q26" s="886">
        <v>0</v>
      </c>
      <c r="R26" s="886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885">
        <f>SUM(H28:H30)</f>
        <v>0</v>
      </c>
      <c r="I27" s="885">
        <f t="shared" ref="I27:R27" si="5">SUM(I28:I30)</f>
        <v>3367.3879999999999</v>
      </c>
      <c r="J27" s="885">
        <f t="shared" si="5"/>
        <v>3177.9409999999998</v>
      </c>
      <c r="K27" s="885">
        <f t="shared" si="5"/>
        <v>3000.1409999999996</v>
      </c>
      <c r="L27" s="885">
        <f t="shared" si="5"/>
        <v>3013.1289999999995</v>
      </c>
      <c r="M27" s="885">
        <f t="shared" si="5"/>
        <v>2960</v>
      </c>
      <c r="N27" s="885">
        <f t="shared" si="5"/>
        <v>2960</v>
      </c>
      <c r="O27" s="885">
        <f t="shared" si="5"/>
        <v>2960</v>
      </c>
      <c r="P27" s="885">
        <f t="shared" si="5"/>
        <v>2960</v>
      </c>
      <c r="Q27" s="885">
        <f t="shared" si="5"/>
        <v>2960</v>
      </c>
      <c r="R27" s="885">
        <f t="shared" si="5"/>
        <v>2960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886">
        <v>0</v>
      </c>
      <c r="I28" s="886">
        <v>3082.8649999999998</v>
      </c>
      <c r="J28" s="886">
        <v>3082.8649999999998</v>
      </c>
      <c r="K28" s="886">
        <v>3082.8649999999998</v>
      </c>
      <c r="L28" s="886">
        <v>3082.8649999999998</v>
      </c>
      <c r="M28" s="886">
        <v>3083</v>
      </c>
      <c r="N28" s="886">
        <v>3083</v>
      </c>
      <c r="O28" s="886">
        <v>3083</v>
      </c>
      <c r="P28" s="886">
        <v>3083</v>
      </c>
      <c r="Q28" s="886">
        <v>3083</v>
      </c>
      <c r="R28" s="886">
        <v>3083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886">
        <v>0</v>
      </c>
      <c r="I29" s="886">
        <v>0</v>
      </c>
      <c r="J29" s="886">
        <v>284.52300000000002</v>
      </c>
      <c r="K29" s="886">
        <v>95.076000000000022</v>
      </c>
      <c r="L29" s="886">
        <v>-82.72399999999999</v>
      </c>
      <c r="M29" s="886">
        <v>-70</v>
      </c>
      <c r="N29" s="886">
        <v>-123</v>
      </c>
      <c r="O29" s="886">
        <v>-123</v>
      </c>
      <c r="P29" s="886">
        <v>-123</v>
      </c>
      <c r="Q29" s="886">
        <v>-123</v>
      </c>
      <c r="R29" s="886">
        <v>-123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886">
        <v>0</v>
      </c>
      <c r="I30" s="886">
        <v>284.52300000000002</v>
      </c>
      <c r="J30" s="886">
        <v>-189.447</v>
      </c>
      <c r="K30" s="886">
        <v>-177.8</v>
      </c>
      <c r="L30" s="886">
        <v>12.988</v>
      </c>
      <c r="M30" s="886">
        <v>-53</v>
      </c>
      <c r="N30" s="886">
        <v>0</v>
      </c>
      <c r="O30" s="886"/>
      <c r="P30" s="886">
        <v>0</v>
      </c>
      <c r="Q30" s="886">
        <v>0</v>
      </c>
      <c r="R30" s="886">
        <v>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889">
        <f t="shared" ref="H31:R31" si="6">H4-H18</f>
        <v>0</v>
      </c>
      <c r="I31" s="889">
        <f t="shared" si="6"/>
        <v>1.0000000002037268E-3</v>
      </c>
      <c r="J31" s="889">
        <f t="shared" si="6"/>
        <v>-9.9999999974897946E-4</v>
      </c>
      <c r="K31" s="889">
        <f t="shared" si="6"/>
        <v>1.0000000002037268E-3</v>
      </c>
      <c r="L31" s="889">
        <f t="shared" si="6"/>
        <v>-9.9999999883948476E-4</v>
      </c>
      <c r="M31" s="889">
        <f t="shared" si="6"/>
        <v>0</v>
      </c>
      <c r="N31" s="889">
        <f t="shared" si="6"/>
        <v>0</v>
      </c>
      <c r="O31" s="889">
        <f t="shared" si="6"/>
        <v>0</v>
      </c>
      <c r="P31" s="889">
        <f t="shared" si="6"/>
        <v>0</v>
      </c>
      <c r="Q31" s="889">
        <f t="shared" si="6"/>
        <v>0</v>
      </c>
      <c r="R31" s="889">
        <f t="shared" si="6"/>
        <v>0</v>
      </c>
      <c r="S31" s="4"/>
    </row>
    <row r="32" spans="1:19" x14ac:dyDescent="0.2">
      <c r="G32" s="882" t="s">
        <v>78</v>
      </c>
      <c r="H32" s="890">
        <v>2011</v>
      </c>
      <c r="I32" s="890">
        <f t="shared" ref="I32:R32" si="7">H32+1</f>
        <v>2012</v>
      </c>
      <c r="J32" s="890">
        <f t="shared" si="7"/>
        <v>2013</v>
      </c>
      <c r="K32" s="890">
        <f t="shared" si="7"/>
        <v>2014</v>
      </c>
      <c r="L32" s="890">
        <f t="shared" si="7"/>
        <v>2015</v>
      </c>
      <c r="M32" s="890">
        <f t="shared" si="7"/>
        <v>2016</v>
      </c>
      <c r="N32" s="890">
        <f t="shared" si="7"/>
        <v>2017</v>
      </c>
      <c r="O32" s="890">
        <f t="shared" si="7"/>
        <v>2018</v>
      </c>
      <c r="P32" s="890">
        <f t="shared" si="7"/>
        <v>2019</v>
      </c>
      <c r="Q32" s="890">
        <f t="shared" si="7"/>
        <v>2020</v>
      </c>
      <c r="R32" s="890">
        <f t="shared" si="7"/>
        <v>2021</v>
      </c>
    </row>
    <row r="33" spans="1:18" x14ac:dyDescent="0.2">
      <c r="B33" s="2" t="s">
        <v>79</v>
      </c>
      <c r="C33" s="19">
        <v>3</v>
      </c>
      <c r="G33" s="884" t="s">
        <v>80</v>
      </c>
      <c r="H33" s="885">
        <f>SUM(H34:H37)</f>
        <v>0</v>
      </c>
      <c r="I33" s="885">
        <f t="shared" ref="I33:R33" si="8">SUM(I34:I37)</f>
        <v>2021.0909999999999</v>
      </c>
      <c r="J33" s="885">
        <f t="shared" si="8"/>
        <v>2099.8469999999998</v>
      </c>
      <c r="K33" s="885">
        <f t="shared" si="8"/>
        <v>2190.4879999999998</v>
      </c>
      <c r="L33" s="885">
        <f t="shared" si="8"/>
        <v>2446.8010000000004</v>
      </c>
      <c r="M33" s="885">
        <f t="shared" si="8"/>
        <v>2715</v>
      </c>
      <c r="N33" s="885">
        <f t="shared" si="8"/>
        <v>2816</v>
      </c>
      <c r="O33" s="885">
        <f t="shared" si="8"/>
        <v>3183</v>
      </c>
      <c r="P33" s="885">
        <f t="shared" si="8"/>
        <v>3347</v>
      </c>
      <c r="Q33" s="885">
        <f t="shared" si="8"/>
        <v>3471</v>
      </c>
      <c r="R33" s="885">
        <f t="shared" si="8"/>
        <v>3550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886">
        <v>0</v>
      </c>
      <c r="I34" s="886">
        <v>0</v>
      </c>
      <c r="J34" s="886">
        <v>0</v>
      </c>
      <c r="K34" s="886">
        <v>0</v>
      </c>
      <c r="L34" s="886">
        <v>0</v>
      </c>
      <c r="M34" s="886">
        <v>0</v>
      </c>
      <c r="N34" s="886">
        <v>0</v>
      </c>
      <c r="O34" s="886">
        <v>0</v>
      </c>
      <c r="P34" s="886">
        <v>0</v>
      </c>
      <c r="Q34" s="886">
        <v>0</v>
      </c>
      <c r="R34" s="886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886">
        <v>0</v>
      </c>
      <c r="I35" s="886">
        <v>951.16899999999998</v>
      </c>
      <c r="J35" s="886">
        <v>1114.992</v>
      </c>
      <c r="K35" s="886">
        <v>1177.8119999999999</v>
      </c>
      <c r="L35" s="886">
        <v>1282.1010000000001</v>
      </c>
      <c r="M35" s="886">
        <v>1483</v>
      </c>
      <c r="N35" s="886">
        <v>1490</v>
      </c>
      <c r="O35" s="886">
        <v>1505</v>
      </c>
      <c r="P35" s="886">
        <v>1504</v>
      </c>
      <c r="Q35" s="886">
        <v>1541</v>
      </c>
      <c r="R35" s="886">
        <v>1529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886">
        <v>0</v>
      </c>
      <c r="I36" s="886">
        <v>1071.1089999999999</v>
      </c>
      <c r="J36" s="886">
        <v>984.85500000000002</v>
      </c>
      <c r="K36" s="886">
        <v>1012.676</v>
      </c>
      <c r="L36" s="886">
        <v>1164.7</v>
      </c>
      <c r="M36" s="886">
        <v>1232</v>
      </c>
      <c r="N36" s="886">
        <v>1279</v>
      </c>
      <c r="O36" s="886">
        <v>1657</v>
      </c>
      <c r="P36" s="886">
        <v>1822</v>
      </c>
      <c r="Q36" s="886">
        <v>1909</v>
      </c>
      <c r="R36" s="886">
        <v>2000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886">
        <v>0</v>
      </c>
      <c r="I37" s="886">
        <v>-1.1870000000000001</v>
      </c>
      <c r="J37" s="886">
        <v>0</v>
      </c>
      <c r="K37" s="886">
        <v>0</v>
      </c>
      <c r="L37" s="886">
        <v>0</v>
      </c>
      <c r="M37" s="886">
        <v>0</v>
      </c>
      <c r="N37" s="886">
        <v>47</v>
      </c>
      <c r="O37" s="886">
        <v>21</v>
      </c>
      <c r="P37" s="886">
        <v>21</v>
      </c>
      <c r="Q37" s="886">
        <v>21</v>
      </c>
      <c r="R37" s="886">
        <v>21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885">
        <f>H39+H40</f>
        <v>0</v>
      </c>
      <c r="I38" s="885">
        <f t="shared" ref="I38:R38" si="9">I39+I40</f>
        <v>0</v>
      </c>
      <c r="J38" s="885">
        <f t="shared" si="9"/>
        <v>0</v>
      </c>
      <c r="K38" s="885">
        <f t="shared" si="9"/>
        <v>0</v>
      </c>
      <c r="L38" s="885">
        <f t="shared" si="9"/>
        <v>0</v>
      </c>
      <c r="M38" s="885">
        <f t="shared" si="9"/>
        <v>0</v>
      </c>
      <c r="N38" s="885">
        <f t="shared" si="9"/>
        <v>0</v>
      </c>
      <c r="O38" s="885">
        <f t="shared" si="9"/>
        <v>0</v>
      </c>
      <c r="P38" s="885">
        <f t="shared" si="9"/>
        <v>0</v>
      </c>
      <c r="Q38" s="885">
        <f t="shared" si="9"/>
        <v>0</v>
      </c>
      <c r="R38" s="885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886">
        <v>0</v>
      </c>
      <c r="I39" s="886">
        <v>0</v>
      </c>
      <c r="J39" s="886">
        <v>0</v>
      </c>
      <c r="K39" s="886">
        <v>0</v>
      </c>
      <c r="L39" s="886">
        <v>0</v>
      </c>
      <c r="M39" s="886">
        <v>0</v>
      </c>
      <c r="N39" s="886">
        <v>0</v>
      </c>
      <c r="O39" s="886">
        <v>0</v>
      </c>
      <c r="P39" s="886">
        <v>0</v>
      </c>
      <c r="Q39" s="886">
        <v>0</v>
      </c>
      <c r="R39" s="886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886">
        <v>0</v>
      </c>
      <c r="I40" s="886">
        <v>0</v>
      </c>
      <c r="J40" s="886">
        <v>0</v>
      </c>
      <c r="K40" s="886">
        <v>0</v>
      </c>
      <c r="L40" s="886">
        <v>0</v>
      </c>
      <c r="M40" s="886">
        <v>0</v>
      </c>
      <c r="N40" s="886">
        <v>0</v>
      </c>
      <c r="O40" s="886">
        <v>0</v>
      </c>
      <c r="P40" s="886">
        <v>0</v>
      </c>
      <c r="Q40" s="886">
        <v>0</v>
      </c>
      <c r="R40" s="886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885">
        <f>SUM(H42:H45)</f>
        <v>0</v>
      </c>
      <c r="I41" s="885">
        <f t="shared" ref="I41:R41" si="10">SUM(I42:I45)</f>
        <v>-1736.5549999999998</v>
      </c>
      <c r="J41" s="885">
        <f t="shared" si="10"/>
        <v>-2289.2939999999999</v>
      </c>
      <c r="K41" s="885">
        <f t="shared" si="10"/>
        <v>-2368.2869999999998</v>
      </c>
      <c r="L41" s="885">
        <f t="shared" si="10"/>
        <v>-2434.7129999999997</v>
      </c>
      <c r="M41" s="885">
        <f t="shared" si="10"/>
        <v>-2769</v>
      </c>
      <c r="N41" s="885">
        <f t="shared" si="10"/>
        <v>-2816</v>
      </c>
      <c r="O41" s="885">
        <f t="shared" si="10"/>
        <v>-3183</v>
      </c>
      <c r="P41" s="885">
        <f t="shared" si="10"/>
        <v>-3347</v>
      </c>
      <c r="Q41" s="885">
        <f t="shared" si="10"/>
        <v>-3471</v>
      </c>
      <c r="R41" s="885">
        <f t="shared" si="10"/>
        <v>-3550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886">
        <v>0</v>
      </c>
      <c r="I42" s="886">
        <v>-995.59500000000003</v>
      </c>
      <c r="J42" s="886">
        <v>-1296.653</v>
      </c>
      <c r="K42" s="886">
        <v>-1418.48</v>
      </c>
      <c r="L42" s="886">
        <v>-1458.8679999999999</v>
      </c>
      <c r="M42" s="886">
        <v>-1653</v>
      </c>
      <c r="N42" s="886">
        <v>-1757</v>
      </c>
      <c r="O42" s="886">
        <v>-1850</v>
      </c>
      <c r="P42" s="886">
        <v>-1949</v>
      </c>
      <c r="Q42" s="886">
        <v>-2035</v>
      </c>
      <c r="R42" s="886">
        <v>-2126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886">
        <v>0</v>
      </c>
      <c r="I43" s="886">
        <v>-650.29</v>
      </c>
      <c r="J43" s="886">
        <v>-859.43600000000004</v>
      </c>
      <c r="K43" s="886">
        <v>-813.76800000000003</v>
      </c>
      <c r="L43" s="886">
        <v>-837.07</v>
      </c>
      <c r="M43" s="886">
        <v>-965</v>
      </c>
      <c r="N43" s="886">
        <v>-869</v>
      </c>
      <c r="O43" s="886">
        <v>-1023</v>
      </c>
      <c r="P43" s="886">
        <v>-1088</v>
      </c>
      <c r="Q43" s="886">
        <v>-1126</v>
      </c>
      <c r="R43" s="886">
        <v>-1114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886">
        <v>0</v>
      </c>
      <c r="I44" s="886">
        <v>-0.39700000000000002</v>
      </c>
      <c r="J44" s="886">
        <v>-0.61299999999999999</v>
      </c>
      <c r="K44" s="886">
        <v>-0.77600000000000002</v>
      </c>
      <c r="L44" s="886">
        <v>-0.61299999999999999</v>
      </c>
      <c r="M44" s="886">
        <v>0</v>
      </c>
      <c r="N44" s="886">
        <v>0</v>
      </c>
      <c r="O44" s="886">
        <v>0</v>
      </c>
      <c r="P44" s="886">
        <v>0</v>
      </c>
      <c r="Q44" s="886">
        <v>0</v>
      </c>
      <c r="R44" s="886">
        <v>0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886">
        <v>0</v>
      </c>
      <c r="I45" s="886">
        <v>-90.272999999999996</v>
      </c>
      <c r="J45" s="886">
        <v>-132.59200000000001</v>
      </c>
      <c r="K45" s="886">
        <v>-135.26300000000001</v>
      </c>
      <c r="L45" s="886">
        <v>-138.16200000000001</v>
      </c>
      <c r="M45" s="886">
        <v>-151</v>
      </c>
      <c r="N45" s="886">
        <v>-190</v>
      </c>
      <c r="O45" s="886">
        <v>-310</v>
      </c>
      <c r="P45" s="886">
        <v>-310</v>
      </c>
      <c r="Q45" s="886">
        <v>-310</v>
      </c>
      <c r="R45" s="886">
        <v>-310</v>
      </c>
    </row>
    <row r="46" spans="1:18" x14ac:dyDescent="0.2">
      <c r="B46" s="2" t="s">
        <v>107</v>
      </c>
      <c r="G46" s="18" t="s">
        <v>108</v>
      </c>
      <c r="H46" s="885">
        <f>H33+H38+H41</f>
        <v>0</v>
      </c>
      <c r="I46" s="885">
        <f t="shared" ref="I46:R46" si="11">I33+I38+I41</f>
        <v>284.53600000000006</v>
      </c>
      <c r="J46" s="885">
        <f t="shared" si="11"/>
        <v>-189.44700000000012</v>
      </c>
      <c r="K46" s="885">
        <f t="shared" si="11"/>
        <v>-177.79899999999998</v>
      </c>
      <c r="L46" s="885">
        <f t="shared" si="11"/>
        <v>12.088000000000648</v>
      </c>
      <c r="M46" s="885">
        <f t="shared" si="11"/>
        <v>-54</v>
      </c>
      <c r="N46" s="885">
        <f t="shared" si="11"/>
        <v>0</v>
      </c>
      <c r="O46" s="885">
        <f t="shared" si="11"/>
        <v>0</v>
      </c>
      <c r="P46" s="885">
        <f>SUM(P33+P38+P41)</f>
        <v>0</v>
      </c>
      <c r="Q46" s="885">
        <f t="shared" si="11"/>
        <v>0</v>
      </c>
      <c r="R46" s="885">
        <f t="shared" si="11"/>
        <v>0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886">
        <v>0</v>
      </c>
      <c r="I47" s="886">
        <v>0.188</v>
      </c>
      <c r="J47" s="886">
        <v>0</v>
      </c>
      <c r="K47" s="886">
        <v>0</v>
      </c>
      <c r="L47" s="886">
        <v>0.89900000000000002</v>
      </c>
      <c r="M47" s="886">
        <v>1</v>
      </c>
      <c r="N47" s="886">
        <v>0</v>
      </c>
      <c r="O47" s="886">
        <v>0</v>
      </c>
      <c r="P47" s="886">
        <v>0</v>
      </c>
      <c r="Q47" s="886">
        <v>0</v>
      </c>
      <c r="R47" s="886">
        <v>0</v>
      </c>
    </row>
    <row r="48" spans="1:18" x14ac:dyDescent="0.2">
      <c r="B48" s="2" t="s">
        <v>111</v>
      </c>
      <c r="G48" s="18" t="s">
        <v>112</v>
      </c>
      <c r="H48" s="885">
        <f>H46+H47</f>
        <v>0</v>
      </c>
      <c r="I48" s="885">
        <f t="shared" ref="I48:R48" si="12">I46+I47</f>
        <v>284.72400000000005</v>
      </c>
      <c r="J48" s="885">
        <f t="shared" si="12"/>
        <v>-189.44700000000012</v>
      </c>
      <c r="K48" s="885">
        <f t="shared" si="12"/>
        <v>-177.79899999999998</v>
      </c>
      <c r="L48" s="885">
        <f t="shared" si="12"/>
        <v>12.987000000000648</v>
      </c>
      <c r="M48" s="885">
        <f t="shared" si="12"/>
        <v>-53</v>
      </c>
      <c r="N48" s="885">
        <f t="shared" si="12"/>
        <v>0</v>
      </c>
      <c r="O48" s="885">
        <f t="shared" si="12"/>
        <v>0</v>
      </c>
      <c r="P48" s="885">
        <f t="shared" si="12"/>
        <v>0</v>
      </c>
      <c r="Q48" s="885">
        <f t="shared" si="12"/>
        <v>0</v>
      </c>
      <c r="R48" s="885">
        <f t="shared" si="12"/>
        <v>0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886">
        <v>0</v>
      </c>
      <c r="I49" s="886">
        <v>0</v>
      </c>
      <c r="J49" s="886">
        <v>0</v>
      </c>
      <c r="K49" s="886">
        <v>0</v>
      </c>
      <c r="L49" s="886">
        <v>0</v>
      </c>
      <c r="M49" s="886">
        <v>0</v>
      </c>
      <c r="N49" s="886">
        <v>0</v>
      </c>
      <c r="O49" s="886">
        <v>0</v>
      </c>
      <c r="P49" s="886">
        <v>0</v>
      </c>
      <c r="Q49" s="886">
        <v>0</v>
      </c>
      <c r="R49" s="886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886">
        <v>0</v>
      </c>
      <c r="I50" s="886">
        <v>0</v>
      </c>
      <c r="J50" s="886">
        <v>0</v>
      </c>
      <c r="K50" s="886">
        <v>0</v>
      </c>
      <c r="L50" s="886">
        <v>0</v>
      </c>
      <c r="M50" s="886">
        <v>0</v>
      </c>
      <c r="N50" s="886">
        <v>0</v>
      </c>
      <c r="O50" s="886">
        <v>0</v>
      </c>
      <c r="P50" s="886">
        <v>0</v>
      </c>
      <c r="Q50" s="886">
        <v>0</v>
      </c>
      <c r="R50" s="886">
        <v>0</v>
      </c>
    </row>
    <row r="51" spans="1:18" x14ac:dyDescent="0.2">
      <c r="B51" s="2" t="s">
        <v>117</v>
      </c>
      <c r="G51" s="18" t="s">
        <v>118</v>
      </c>
      <c r="H51" s="885">
        <f>H48+H49+H50</f>
        <v>0</v>
      </c>
      <c r="I51" s="885">
        <f t="shared" ref="I51:R51" si="13">I48+I49+I50</f>
        <v>284.72400000000005</v>
      </c>
      <c r="J51" s="885">
        <f t="shared" si="13"/>
        <v>-189.44700000000012</v>
      </c>
      <c r="K51" s="885">
        <f t="shared" si="13"/>
        <v>-177.79899999999998</v>
      </c>
      <c r="L51" s="885">
        <f t="shared" si="13"/>
        <v>12.987000000000648</v>
      </c>
      <c r="M51" s="885">
        <f t="shared" si="13"/>
        <v>-53</v>
      </c>
      <c r="N51" s="885">
        <f t="shared" si="13"/>
        <v>0</v>
      </c>
      <c r="O51" s="885">
        <f t="shared" si="13"/>
        <v>0</v>
      </c>
      <c r="P51" s="885">
        <f t="shared" si="13"/>
        <v>0</v>
      </c>
      <c r="Q51" s="885">
        <f t="shared" si="13"/>
        <v>0</v>
      </c>
      <c r="R51" s="885">
        <f t="shared" si="13"/>
        <v>0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889">
        <f>H30-H51</f>
        <v>0</v>
      </c>
      <c r="I52" s="889">
        <f t="shared" ref="I52:R52" si="14">I30-I51</f>
        <v>-0.20100000000002183</v>
      </c>
      <c r="J52" s="889">
        <f t="shared" si="14"/>
        <v>0</v>
      </c>
      <c r="K52" s="889">
        <f t="shared" si="14"/>
        <v>-1.0000000000331966E-3</v>
      </c>
      <c r="L52" s="889">
        <f t="shared" si="14"/>
        <v>9.9999999935107553E-4</v>
      </c>
      <c r="M52" s="889">
        <f t="shared" si="14"/>
        <v>0</v>
      </c>
      <c r="N52" s="889">
        <f t="shared" si="14"/>
        <v>0</v>
      </c>
      <c r="O52" s="889">
        <f t="shared" si="14"/>
        <v>0</v>
      </c>
      <c r="P52" s="889">
        <f t="shared" si="14"/>
        <v>0</v>
      </c>
      <c r="Q52" s="889">
        <f t="shared" si="14"/>
        <v>0</v>
      </c>
      <c r="R52" s="889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886">
        <v>0</v>
      </c>
      <c r="I54" s="886">
        <v>103</v>
      </c>
      <c r="J54" s="886">
        <v>99</v>
      </c>
      <c r="K54" s="886">
        <v>92</v>
      </c>
      <c r="L54" s="886">
        <v>100</v>
      </c>
      <c r="M54" s="886">
        <v>103</v>
      </c>
      <c r="N54" s="886">
        <v>103</v>
      </c>
      <c r="O54" s="886">
        <v>103</v>
      </c>
      <c r="P54" s="886">
        <v>103</v>
      </c>
      <c r="Q54" s="886">
        <v>103</v>
      </c>
      <c r="R54" s="886">
        <v>103</v>
      </c>
    </row>
    <row r="55" spans="1:18" ht="12" x14ac:dyDescent="0.2">
      <c r="E55" s="20" t="s">
        <v>14</v>
      </c>
      <c r="G55" s="46" t="s">
        <v>122</v>
      </c>
      <c r="H55" s="886"/>
      <c r="I55" s="886"/>
      <c r="J55" s="886"/>
      <c r="K55" s="886"/>
      <c r="L55" s="891"/>
      <c r="M55" s="891"/>
      <c r="N55" s="891"/>
      <c r="O55" s="891"/>
      <c r="P55" s="891"/>
      <c r="Q55" s="891"/>
      <c r="R55" s="891"/>
    </row>
    <row r="57" spans="1:18" x14ac:dyDescent="0.2">
      <c r="D57" s="49" t="s">
        <v>123</v>
      </c>
      <c r="E57" s="50" t="s">
        <v>3</v>
      </c>
      <c r="F57" s="17"/>
      <c r="G57" s="882" t="s">
        <v>124</v>
      </c>
      <c r="H57" s="890">
        <f>H32</f>
        <v>2011</v>
      </c>
      <c r="I57" s="890">
        <f t="shared" ref="I57:R57" si="15">I32</f>
        <v>2012</v>
      </c>
      <c r="J57" s="890">
        <f t="shared" si="15"/>
        <v>2013</v>
      </c>
      <c r="K57" s="890">
        <f t="shared" si="15"/>
        <v>2014</v>
      </c>
      <c r="L57" s="890">
        <f t="shared" si="15"/>
        <v>2015</v>
      </c>
      <c r="M57" s="890">
        <f t="shared" si="15"/>
        <v>2016</v>
      </c>
      <c r="N57" s="890">
        <f t="shared" si="15"/>
        <v>2017</v>
      </c>
      <c r="O57" s="890">
        <f t="shared" si="15"/>
        <v>2018</v>
      </c>
      <c r="P57" s="890">
        <f t="shared" si="15"/>
        <v>2019</v>
      </c>
      <c r="Q57" s="890">
        <f t="shared" si="15"/>
        <v>2020</v>
      </c>
      <c r="R57" s="890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884" t="s">
        <v>128</v>
      </c>
      <c r="H58" s="886">
        <v>0</v>
      </c>
      <c r="I58" s="886">
        <v>-7.2229999999999999</v>
      </c>
      <c r="J58" s="886">
        <v>-4.4409999999999998</v>
      </c>
      <c r="K58" s="886">
        <v>-30.535</v>
      </c>
      <c r="L58" s="886">
        <v>-5.1449999999999996</v>
      </c>
      <c r="M58" s="886">
        <v>-5</v>
      </c>
      <c r="N58" s="886">
        <v>-1400</v>
      </c>
      <c r="O58" s="886">
        <v>-1863</v>
      </c>
      <c r="P58" s="886"/>
      <c r="Q58" s="886"/>
      <c r="R58" s="886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886">
        <v>0</v>
      </c>
      <c r="I59" s="886">
        <v>3.5</v>
      </c>
      <c r="J59" s="886">
        <v>0</v>
      </c>
      <c r="K59" s="886">
        <v>0</v>
      </c>
      <c r="L59" s="886">
        <v>0</v>
      </c>
      <c r="M59" s="886">
        <v>0</v>
      </c>
      <c r="N59" s="886">
        <v>0</v>
      </c>
      <c r="O59" s="886">
        <v>0</v>
      </c>
      <c r="P59" s="886">
        <v>0</v>
      </c>
      <c r="Q59" s="886">
        <v>0</v>
      </c>
      <c r="R59" s="886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886">
        <v>0</v>
      </c>
      <c r="I60" s="886">
        <v>0</v>
      </c>
      <c r="J60" s="886">
        <v>0</v>
      </c>
      <c r="K60" s="886">
        <v>0</v>
      </c>
      <c r="L60" s="886">
        <v>210</v>
      </c>
      <c r="M60" s="886">
        <v>0</v>
      </c>
      <c r="N60" s="886">
        <v>1400</v>
      </c>
      <c r="O60" s="886">
        <v>1863</v>
      </c>
      <c r="P60" s="886"/>
      <c r="Q60" s="886"/>
      <c r="R60" s="886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886">
        <v>0</v>
      </c>
      <c r="I61" s="886">
        <v>0</v>
      </c>
      <c r="J61" s="886">
        <v>0</v>
      </c>
      <c r="K61" s="886">
        <v>0</v>
      </c>
      <c r="L61" s="886">
        <v>0</v>
      </c>
      <c r="M61" s="886">
        <v>0</v>
      </c>
      <c r="N61" s="886">
        <v>0</v>
      </c>
      <c r="O61" s="886">
        <v>0</v>
      </c>
      <c r="P61" s="886">
        <v>0</v>
      </c>
      <c r="Q61" s="886">
        <v>0</v>
      </c>
      <c r="R61" s="886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886">
        <v>0</v>
      </c>
      <c r="I62" s="886">
        <v>0</v>
      </c>
      <c r="J62" s="886">
        <v>0</v>
      </c>
      <c r="K62" s="886">
        <v>0</v>
      </c>
      <c r="L62" s="886">
        <v>0</v>
      </c>
      <c r="M62" s="886">
        <v>0</v>
      </c>
      <c r="N62" s="886">
        <v>0</v>
      </c>
      <c r="O62" s="886">
        <v>0</v>
      </c>
      <c r="P62" s="886">
        <v>0</v>
      </c>
      <c r="Q62" s="886">
        <v>0</v>
      </c>
      <c r="R62" s="886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886">
        <v>0</v>
      </c>
      <c r="I63" s="886">
        <v>0</v>
      </c>
      <c r="J63" s="886">
        <v>0</v>
      </c>
      <c r="K63" s="886">
        <v>0</v>
      </c>
      <c r="L63" s="886">
        <v>0</v>
      </c>
      <c r="M63" s="886">
        <v>0</v>
      </c>
      <c r="N63" s="886">
        <v>0</v>
      </c>
      <c r="O63" s="886">
        <v>0</v>
      </c>
      <c r="P63" s="886">
        <v>0</v>
      </c>
      <c r="Q63" s="886">
        <v>0</v>
      </c>
      <c r="R63" s="886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886">
        <v>0</v>
      </c>
      <c r="I64" s="886">
        <v>0</v>
      </c>
      <c r="J64" s="886">
        <v>0</v>
      </c>
      <c r="K64" s="886">
        <v>0</v>
      </c>
      <c r="L64" s="886">
        <v>0</v>
      </c>
      <c r="M64" s="886">
        <v>0</v>
      </c>
      <c r="N64" s="886">
        <v>0</v>
      </c>
      <c r="O64" s="886">
        <v>0</v>
      </c>
      <c r="P64" s="886">
        <v>0</v>
      </c>
      <c r="Q64" s="886">
        <v>0</v>
      </c>
      <c r="R64" s="886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886">
        <v>0</v>
      </c>
      <c r="I65" s="886">
        <v>0</v>
      </c>
      <c r="J65" s="886">
        <v>0</v>
      </c>
      <c r="K65" s="886">
        <v>0</v>
      </c>
      <c r="L65" s="886">
        <v>0</v>
      </c>
      <c r="M65" s="886">
        <v>0</v>
      </c>
      <c r="N65" s="886">
        <v>0</v>
      </c>
      <c r="O65" s="886">
        <v>0</v>
      </c>
      <c r="P65" s="886">
        <v>0</v>
      </c>
      <c r="Q65" s="886">
        <v>0</v>
      </c>
      <c r="R65" s="886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886">
        <v>0</v>
      </c>
      <c r="I66" s="886">
        <v>0</v>
      </c>
      <c r="J66" s="886">
        <v>0</v>
      </c>
      <c r="K66" s="886">
        <v>0</v>
      </c>
      <c r="L66" s="886">
        <v>0</v>
      </c>
      <c r="M66" s="886">
        <v>0</v>
      </c>
      <c r="N66" s="886">
        <v>0</v>
      </c>
      <c r="O66" s="886">
        <v>0</v>
      </c>
      <c r="P66" s="886">
        <v>0</v>
      </c>
      <c r="Q66" s="886">
        <v>0</v>
      </c>
      <c r="R66" s="886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886">
        <v>0</v>
      </c>
      <c r="I67" s="886">
        <v>0</v>
      </c>
      <c r="J67" s="886">
        <v>0</v>
      </c>
      <c r="K67" s="886">
        <v>0</v>
      </c>
      <c r="L67" s="886">
        <v>0</v>
      </c>
      <c r="M67" s="886">
        <v>0</v>
      </c>
      <c r="N67" s="886">
        <v>0</v>
      </c>
      <c r="O67" s="886">
        <v>0</v>
      </c>
      <c r="P67" s="886">
        <v>0</v>
      </c>
      <c r="Q67" s="886">
        <v>0</v>
      </c>
      <c r="R67" s="886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886">
        <v>0</v>
      </c>
      <c r="I68" s="886">
        <v>0</v>
      </c>
      <c r="J68" s="886">
        <v>0</v>
      </c>
      <c r="K68" s="886">
        <v>0</v>
      </c>
      <c r="L68" s="886">
        <v>0</v>
      </c>
      <c r="M68" s="886">
        <v>0</v>
      </c>
      <c r="N68" s="886">
        <v>0</v>
      </c>
      <c r="O68" s="886">
        <v>0</v>
      </c>
      <c r="P68" s="886">
        <v>0</v>
      </c>
      <c r="Q68" s="886">
        <v>0</v>
      </c>
      <c r="R68" s="886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886">
        <v>0</v>
      </c>
      <c r="I69" s="886">
        <v>0</v>
      </c>
      <c r="J69" s="886">
        <v>0</v>
      </c>
      <c r="K69" s="886">
        <v>0</v>
      </c>
      <c r="L69" s="886">
        <v>0</v>
      </c>
      <c r="M69" s="886">
        <v>0</v>
      </c>
      <c r="N69" s="886">
        <v>0</v>
      </c>
      <c r="O69" s="886">
        <v>0</v>
      </c>
      <c r="P69" s="886">
        <v>0</v>
      </c>
      <c r="Q69" s="886">
        <v>0</v>
      </c>
      <c r="R69" s="886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886">
        <v>0</v>
      </c>
      <c r="I70" s="886">
        <v>0.156</v>
      </c>
      <c r="J70" s="886">
        <v>3.1E-2</v>
      </c>
      <c r="K70" s="886">
        <v>0.318</v>
      </c>
      <c r="L70" s="886">
        <v>0.38400000000000001</v>
      </c>
      <c r="M70" s="886">
        <v>1</v>
      </c>
      <c r="N70" s="886">
        <v>1</v>
      </c>
      <c r="O70" s="886">
        <v>0</v>
      </c>
      <c r="P70" s="886">
        <v>0</v>
      </c>
      <c r="Q70" s="886">
        <v>0</v>
      </c>
      <c r="R70" s="886">
        <v>0</v>
      </c>
    </row>
    <row r="71" spans="2:18" x14ac:dyDescent="0.2">
      <c r="B71" s="51" t="s">
        <v>162</v>
      </c>
      <c r="D71" s="16"/>
      <c r="E71" s="22"/>
      <c r="F71" s="22"/>
      <c r="G71" s="892" t="s">
        <v>163</v>
      </c>
      <c r="H71" s="885">
        <f t="shared" ref="H71:R71" si="16">SUM(H58:H70)</f>
        <v>0</v>
      </c>
      <c r="I71" s="885">
        <f t="shared" si="16"/>
        <v>-3.5669999999999997</v>
      </c>
      <c r="J71" s="885">
        <f t="shared" si="16"/>
        <v>-4.41</v>
      </c>
      <c r="K71" s="885">
        <f t="shared" si="16"/>
        <v>-30.216999999999999</v>
      </c>
      <c r="L71" s="885">
        <f t="shared" si="16"/>
        <v>205.23899999999998</v>
      </c>
      <c r="M71" s="885">
        <f t="shared" si="16"/>
        <v>-4</v>
      </c>
      <c r="N71" s="885"/>
      <c r="O71" s="885">
        <f t="shared" si="16"/>
        <v>0</v>
      </c>
      <c r="P71" s="885">
        <f t="shared" si="16"/>
        <v>0</v>
      </c>
      <c r="Q71" s="885">
        <f t="shared" si="16"/>
        <v>0</v>
      </c>
      <c r="R71" s="885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882" t="s">
        <v>164</v>
      </c>
      <c r="H73" s="890">
        <f t="shared" ref="H73:R73" si="17">H57</f>
        <v>2011</v>
      </c>
      <c r="I73" s="890">
        <f t="shared" si="17"/>
        <v>2012</v>
      </c>
      <c r="J73" s="890">
        <f t="shared" si="17"/>
        <v>2013</v>
      </c>
      <c r="K73" s="890">
        <f t="shared" si="17"/>
        <v>2014</v>
      </c>
      <c r="L73" s="890">
        <f t="shared" si="17"/>
        <v>2015</v>
      </c>
      <c r="M73" s="890">
        <f t="shared" si="17"/>
        <v>2016</v>
      </c>
      <c r="N73" s="890">
        <f t="shared" si="17"/>
        <v>2017</v>
      </c>
      <c r="O73" s="890">
        <f t="shared" si="17"/>
        <v>2018</v>
      </c>
      <c r="P73" s="890">
        <f t="shared" si="17"/>
        <v>2019</v>
      </c>
      <c r="Q73" s="890">
        <f t="shared" si="17"/>
        <v>2020</v>
      </c>
      <c r="R73" s="890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884" t="s">
        <v>167</v>
      </c>
      <c r="H74" s="886">
        <v>0</v>
      </c>
      <c r="I74" s="886">
        <v>0</v>
      </c>
      <c r="J74" s="886">
        <v>0</v>
      </c>
      <c r="K74" s="886">
        <v>0</v>
      </c>
      <c r="L74" s="886">
        <v>0</v>
      </c>
      <c r="M74" s="886">
        <v>0</v>
      </c>
      <c r="N74" s="886">
        <v>0</v>
      </c>
      <c r="O74" s="886">
        <v>0</v>
      </c>
      <c r="P74" s="886">
        <v>0</v>
      </c>
      <c r="Q74" s="886">
        <v>0</v>
      </c>
      <c r="R74" s="886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886">
        <v>0</v>
      </c>
      <c r="I75" s="886">
        <v>0</v>
      </c>
      <c r="J75" s="886">
        <v>0</v>
      </c>
      <c r="K75" s="886">
        <v>0</v>
      </c>
      <c r="L75" s="886">
        <v>0</v>
      </c>
      <c r="M75" s="886">
        <v>0</v>
      </c>
      <c r="N75" s="886">
        <v>0</v>
      </c>
      <c r="O75" s="886">
        <v>0</v>
      </c>
      <c r="P75" s="886">
        <v>0</v>
      </c>
      <c r="Q75" s="886">
        <v>0</v>
      </c>
      <c r="R75" s="886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886">
        <v>0</v>
      </c>
      <c r="I76" s="886">
        <v>0</v>
      </c>
      <c r="J76" s="886">
        <v>0</v>
      </c>
      <c r="K76" s="886">
        <v>0</v>
      </c>
      <c r="L76" s="886">
        <v>0</v>
      </c>
      <c r="M76" s="886">
        <v>0</v>
      </c>
      <c r="N76" s="886">
        <v>0</v>
      </c>
      <c r="O76" s="886">
        <v>0</v>
      </c>
      <c r="P76" s="886">
        <v>0</v>
      </c>
      <c r="Q76" s="886">
        <v>0</v>
      </c>
      <c r="R76" s="886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886">
        <v>0</v>
      </c>
      <c r="I77" s="886">
        <v>0</v>
      </c>
      <c r="J77" s="886">
        <v>0</v>
      </c>
      <c r="K77" s="886">
        <v>0</v>
      </c>
      <c r="L77" s="886">
        <v>0</v>
      </c>
      <c r="M77" s="886">
        <v>0</v>
      </c>
      <c r="N77" s="886">
        <v>0</v>
      </c>
      <c r="O77" s="886">
        <v>0</v>
      </c>
      <c r="P77" s="886">
        <v>0</v>
      </c>
      <c r="Q77" s="886">
        <v>0</v>
      </c>
      <c r="R77" s="886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886">
        <v>0</v>
      </c>
      <c r="I78" s="886">
        <v>0</v>
      </c>
      <c r="J78" s="886">
        <v>0</v>
      </c>
      <c r="K78" s="886">
        <v>0</v>
      </c>
      <c r="L78" s="886">
        <v>0</v>
      </c>
      <c r="M78" s="886">
        <v>0</v>
      </c>
      <c r="N78" s="886">
        <v>0</v>
      </c>
      <c r="O78" s="886">
        <v>0</v>
      </c>
      <c r="P78" s="886">
        <v>0</v>
      </c>
      <c r="Q78" s="886">
        <v>0</v>
      </c>
      <c r="R78" s="886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886">
        <v>0</v>
      </c>
      <c r="I79" s="886">
        <v>0</v>
      </c>
      <c r="J79" s="886">
        <v>0</v>
      </c>
      <c r="K79" s="886">
        <v>0</v>
      </c>
      <c r="L79" s="886">
        <v>-0.08</v>
      </c>
      <c r="M79" s="886">
        <v>0</v>
      </c>
      <c r="N79" s="886">
        <v>0</v>
      </c>
      <c r="O79" s="886">
        <v>0</v>
      </c>
      <c r="P79" s="886">
        <v>0</v>
      </c>
      <c r="Q79" s="886">
        <v>0</v>
      </c>
      <c r="R79" s="886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886">
        <v>0</v>
      </c>
      <c r="I80" s="886">
        <v>0</v>
      </c>
      <c r="J80" s="886">
        <v>0</v>
      </c>
      <c r="K80" s="886">
        <v>0</v>
      </c>
      <c r="L80" s="886">
        <v>0</v>
      </c>
      <c r="M80" s="886">
        <v>0</v>
      </c>
      <c r="N80" s="886">
        <v>0</v>
      </c>
      <c r="O80" s="886">
        <v>0</v>
      </c>
      <c r="P80" s="886">
        <v>0</v>
      </c>
      <c r="Q80" s="886">
        <v>0</v>
      </c>
      <c r="R80" s="886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886">
        <v>0</v>
      </c>
      <c r="I81" s="886">
        <v>0</v>
      </c>
      <c r="J81" s="886">
        <v>0</v>
      </c>
      <c r="K81" s="886">
        <v>0</v>
      </c>
      <c r="L81" s="886">
        <v>0</v>
      </c>
      <c r="M81" s="886">
        <v>0</v>
      </c>
      <c r="N81" s="886">
        <v>0</v>
      </c>
      <c r="O81" s="886">
        <v>0</v>
      </c>
      <c r="P81" s="886">
        <v>0</v>
      </c>
      <c r="Q81" s="886">
        <v>0</v>
      </c>
      <c r="R81" s="886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886">
        <v>0</v>
      </c>
      <c r="I82" s="886">
        <v>0</v>
      </c>
      <c r="J82" s="886">
        <v>0</v>
      </c>
      <c r="K82" s="886">
        <v>0</v>
      </c>
      <c r="L82" s="886">
        <v>0</v>
      </c>
      <c r="M82" s="886">
        <v>0</v>
      </c>
      <c r="N82" s="886">
        <v>0</v>
      </c>
      <c r="O82" s="886">
        <v>0</v>
      </c>
      <c r="P82" s="886">
        <v>0</v>
      </c>
      <c r="Q82" s="886">
        <v>0</v>
      </c>
      <c r="R82" s="886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886">
        <v>0</v>
      </c>
      <c r="I83" s="886">
        <v>0</v>
      </c>
      <c r="J83" s="886">
        <v>0</v>
      </c>
      <c r="K83" s="886">
        <v>0</v>
      </c>
      <c r="L83" s="886">
        <v>0</v>
      </c>
      <c r="M83" s="886">
        <v>0</v>
      </c>
      <c r="N83" s="886">
        <v>0</v>
      </c>
      <c r="O83" s="886">
        <v>0</v>
      </c>
      <c r="P83" s="886">
        <v>0</v>
      </c>
      <c r="Q83" s="886">
        <v>0</v>
      </c>
      <c r="R83" s="886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886">
        <v>0</v>
      </c>
      <c r="I84" s="886">
        <v>0</v>
      </c>
      <c r="J84" s="886">
        <v>0</v>
      </c>
      <c r="K84" s="886">
        <v>0</v>
      </c>
      <c r="L84" s="886">
        <v>0</v>
      </c>
      <c r="M84" s="886">
        <v>0</v>
      </c>
      <c r="N84" s="886">
        <v>0</v>
      </c>
      <c r="O84" s="886">
        <v>0</v>
      </c>
      <c r="P84" s="886">
        <v>0</v>
      </c>
      <c r="Q84" s="886">
        <v>0</v>
      </c>
      <c r="R84" s="886">
        <v>0</v>
      </c>
    </row>
    <row r="85" spans="1:18" x14ac:dyDescent="0.2">
      <c r="B85" s="2" t="s">
        <v>192</v>
      </c>
      <c r="G85" s="186" t="s">
        <v>163</v>
      </c>
      <c r="H85" s="885">
        <f t="shared" ref="H85:R85" si="18">SUM(H74:H84)</f>
        <v>0</v>
      </c>
      <c r="I85" s="885">
        <f t="shared" si="18"/>
        <v>0</v>
      </c>
      <c r="J85" s="885">
        <f t="shared" si="18"/>
        <v>0</v>
      </c>
      <c r="K85" s="885">
        <f t="shared" si="18"/>
        <v>0</v>
      </c>
      <c r="L85" s="885">
        <f t="shared" si="18"/>
        <v>-0.08</v>
      </c>
      <c r="M85" s="885">
        <f t="shared" si="18"/>
        <v>0</v>
      </c>
      <c r="N85" s="885">
        <f t="shared" si="18"/>
        <v>0</v>
      </c>
      <c r="O85" s="885">
        <f t="shared" si="18"/>
        <v>0</v>
      </c>
      <c r="P85" s="885">
        <f t="shared" si="18"/>
        <v>0</v>
      </c>
      <c r="Q85" s="885">
        <f t="shared" si="18"/>
        <v>0</v>
      </c>
      <c r="R85" s="885">
        <f t="shared" si="18"/>
        <v>0</v>
      </c>
    </row>
    <row r="87" spans="1:18" x14ac:dyDescent="0.2">
      <c r="A87" s="23" t="s">
        <v>0</v>
      </c>
      <c r="D87" s="1251" t="s">
        <v>193</v>
      </c>
      <c r="E87" s="1252"/>
      <c r="G87" s="882" t="s">
        <v>194</v>
      </c>
      <c r="H87" s="890">
        <f t="shared" ref="H87:R87" si="19">H32</f>
        <v>2011</v>
      </c>
      <c r="I87" s="890">
        <f t="shared" si="19"/>
        <v>2012</v>
      </c>
      <c r="J87" s="890">
        <f t="shared" si="19"/>
        <v>2013</v>
      </c>
      <c r="K87" s="890">
        <f t="shared" si="19"/>
        <v>2014</v>
      </c>
      <c r="L87" s="890">
        <f t="shared" si="19"/>
        <v>2015</v>
      </c>
      <c r="M87" s="890">
        <f t="shared" si="19"/>
        <v>2016</v>
      </c>
      <c r="N87" s="890">
        <f t="shared" si="19"/>
        <v>2017</v>
      </c>
      <c r="O87" s="890">
        <f t="shared" si="19"/>
        <v>2018</v>
      </c>
      <c r="P87" s="890">
        <f t="shared" si="19"/>
        <v>2019</v>
      </c>
      <c r="Q87" s="890">
        <f t="shared" si="19"/>
        <v>2020</v>
      </c>
      <c r="R87" s="890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893"/>
      <c r="G88" s="884" t="s">
        <v>198</v>
      </c>
      <c r="H88" s="885">
        <f>H46+H71</f>
        <v>0</v>
      </c>
      <c r="I88" s="885">
        <f t="shared" ref="I88:R88" si="20">I46+I71</f>
        <v>280.96900000000005</v>
      </c>
      <c r="J88" s="885">
        <f t="shared" si="20"/>
        <v>-193.85700000000011</v>
      </c>
      <c r="K88" s="885">
        <f t="shared" si="20"/>
        <v>-208.01599999999996</v>
      </c>
      <c r="L88" s="885">
        <f t="shared" si="20"/>
        <v>217.32700000000062</v>
      </c>
      <c r="M88" s="885">
        <f t="shared" si="20"/>
        <v>-58</v>
      </c>
      <c r="N88" s="885">
        <f t="shared" si="20"/>
        <v>0</v>
      </c>
      <c r="O88" s="885">
        <f t="shared" si="20"/>
        <v>0</v>
      </c>
      <c r="P88" s="885">
        <f t="shared" si="20"/>
        <v>0</v>
      </c>
      <c r="Q88" s="885">
        <f t="shared" si="20"/>
        <v>0</v>
      </c>
      <c r="R88" s="885">
        <f t="shared" si="20"/>
        <v>0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893"/>
      <c r="G89" s="884" t="s">
        <v>202</v>
      </c>
      <c r="H89" s="894">
        <f t="shared" ref="H89:R89" si="21">H33+H38+H41-H45</f>
        <v>0</v>
      </c>
      <c r="I89" s="885">
        <f t="shared" si="21"/>
        <v>374.80900000000008</v>
      </c>
      <c r="J89" s="885">
        <f t="shared" si="21"/>
        <v>-56.855000000000103</v>
      </c>
      <c r="K89" s="885">
        <f t="shared" si="21"/>
        <v>-42.535999999999973</v>
      </c>
      <c r="L89" s="885">
        <f t="shared" si="21"/>
        <v>150.25000000000065</v>
      </c>
      <c r="M89" s="885">
        <f t="shared" si="21"/>
        <v>97</v>
      </c>
      <c r="N89" s="885">
        <f t="shared" si="21"/>
        <v>190</v>
      </c>
      <c r="O89" s="885">
        <f t="shared" si="21"/>
        <v>310</v>
      </c>
      <c r="P89" s="885">
        <f t="shared" si="21"/>
        <v>310</v>
      </c>
      <c r="Q89" s="885">
        <f t="shared" si="21"/>
        <v>310</v>
      </c>
      <c r="R89" s="885">
        <f t="shared" si="21"/>
        <v>310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895">
        <v>0.09</v>
      </c>
      <c r="G90" s="186" t="s">
        <v>206</v>
      </c>
      <c r="H90" s="896" t="e">
        <f t="shared" ref="H90:R90" si="22">H89/H33</f>
        <v>#DIV/0!</v>
      </c>
      <c r="I90" s="897">
        <f t="shared" si="22"/>
        <v>0.18544884916117094</v>
      </c>
      <c r="J90" s="897">
        <f t="shared" si="22"/>
        <v>-2.7075782187940413E-2</v>
      </c>
      <c r="K90" s="897">
        <f t="shared" si="22"/>
        <v>-1.9418504004587094E-2</v>
      </c>
      <c r="L90" s="897">
        <f t="shared" si="22"/>
        <v>6.140671023103253E-2</v>
      </c>
      <c r="M90" s="897">
        <f t="shared" si="22"/>
        <v>3.5727440147329648E-2</v>
      </c>
      <c r="N90" s="897">
        <f t="shared" si="22"/>
        <v>6.7471590909090912E-2</v>
      </c>
      <c r="O90" s="897">
        <f t="shared" si="22"/>
        <v>9.7392397109644993E-2</v>
      </c>
      <c r="P90" s="897">
        <f t="shared" si="22"/>
        <v>9.2620256946519278E-2</v>
      </c>
      <c r="Q90" s="897">
        <f t="shared" si="22"/>
        <v>8.9311437626044363E-2</v>
      </c>
      <c r="R90" s="897">
        <f t="shared" si="22"/>
        <v>8.7323943661971826E-2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893"/>
      <c r="G91" s="18" t="s">
        <v>210</v>
      </c>
      <c r="H91" s="898" t="e">
        <f t="shared" ref="H91:R91" si="23">-H33/(H38+H41)</f>
        <v>#DIV/0!</v>
      </c>
      <c r="I91" s="898">
        <f t="shared" si="23"/>
        <v>1.1638508426165599</v>
      </c>
      <c r="J91" s="898">
        <f t="shared" si="23"/>
        <v>0.9172465397629137</v>
      </c>
      <c r="K91" s="898">
        <f t="shared" si="23"/>
        <v>0.92492506186961299</v>
      </c>
      <c r="L91" s="898">
        <f t="shared" si="23"/>
        <v>1.0049648562274078</v>
      </c>
      <c r="M91" s="898">
        <f t="shared" si="23"/>
        <v>0.98049837486457203</v>
      </c>
      <c r="N91" s="898">
        <f t="shared" si="23"/>
        <v>1</v>
      </c>
      <c r="O91" s="898">
        <f t="shared" si="23"/>
        <v>1</v>
      </c>
      <c r="P91" s="898">
        <f t="shared" si="23"/>
        <v>1</v>
      </c>
      <c r="Q91" s="898">
        <f t="shared" si="23"/>
        <v>1</v>
      </c>
      <c r="R91" s="898">
        <f t="shared" si="23"/>
        <v>1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893"/>
      <c r="G92" s="884" t="s">
        <v>214</v>
      </c>
      <c r="H92" s="894">
        <f>H46</f>
        <v>0</v>
      </c>
      <c r="I92" s="894">
        <f t="shared" ref="I92:R92" si="24">I46</f>
        <v>284.53600000000006</v>
      </c>
      <c r="J92" s="894">
        <f t="shared" si="24"/>
        <v>-189.44700000000012</v>
      </c>
      <c r="K92" s="894">
        <f t="shared" si="24"/>
        <v>-177.79899999999998</v>
      </c>
      <c r="L92" s="894">
        <f t="shared" si="24"/>
        <v>12.088000000000648</v>
      </c>
      <c r="M92" s="894">
        <f t="shared" si="24"/>
        <v>-54</v>
      </c>
      <c r="N92" s="894">
        <f t="shared" si="24"/>
        <v>0</v>
      </c>
      <c r="O92" s="894">
        <f t="shared" si="24"/>
        <v>0</v>
      </c>
      <c r="P92" s="894">
        <f t="shared" si="24"/>
        <v>0</v>
      </c>
      <c r="Q92" s="894">
        <f t="shared" si="24"/>
        <v>0</v>
      </c>
      <c r="R92" s="894">
        <f t="shared" si="24"/>
        <v>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895">
        <v>-0.3</v>
      </c>
      <c r="E93" s="895">
        <v>0</v>
      </c>
      <c r="G93" s="18" t="s">
        <v>218</v>
      </c>
      <c r="H93" s="899" t="e">
        <f>H46/H33</f>
        <v>#DIV/0!</v>
      </c>
      <c r="I93" s="900">
        <f t="shared" ref="I93:R93" si="25">I46/I33</f>
        <v>0.14078336898239618</v>
      </c>
      <c r="J93" s="900">
        <f t="shared" si="25"/>
        <v>-9.0219430272777082E-2</v>
      </c>
      <c r="K93" s="900">
        <f t="shared" si="25"/>
        <v>-8.116867109064281E-2</v>
      </c>
      <c r="L93" s="900">
        <f t="shared" si="25"/>
        <v>4.9403282081381551E-3</v>
      </c>
      <c r="M93" s="900">
        <f t="shared" si="25"/>
        <v>-1.9889502762430938E-2</v>
      </c>
      <c r="N93" s="900">
        <f t="shared" si="25"/>
        <v>0</v>
      </c>
      <c r="O93" s="900">
        <f t="shared" si="25"/>
        <v>0</v>
      </c>
      <c r="P93" s="900">
        <f t="shared" si="25"/>
        <v>0</v>
      </c>
      <c r="Q93" s="900">
        <f t="shared" si="25"/>
        <v>0</v>
      </c>
      <c r="R93" s="900">
        <f t="shared" si="25"/>
        <v>0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893"/>
      <c r="G94" s="186" t="s">
        <v>222</v>
      </c>
      <c r="H94" s="894">
        <f>H29+H30</f>
        <v>0</v>
      </c>
      <c r="I94" s="894">
        <f t="shared" ref="I94:R94" si="26">I29+I30</f>
        <v>284.52300000000002</v>
      </c>
      <c r="J94" s="894">
        <f t="shared" si="26"/>
        <v>95.076000000000022</v>
      </c>
      <c r="K94" s="894">
        <f t="shared" si="26"/>
        <v>-82.72399999999999</v>
      </c>
      <c r="L94" s="894">
        <f t="shared" si="26"/>
        <v>-69.73599999999999</v>
      </c>
      <c r="M94" s="894">
        <f t="shared" si="26"/>
        <v>-123</v>
      </c>
      <c r="N94" s="894">
        <f t="shared" si="26"/>
        <v>-123</v>
      </c>
      <c r="O94" s="894">
        <f t="shared" si="26"/>
        <v>-123</v>
      </c>
      <c r="P94" s="894">
        <f t="shared" si="26"/>
        <v>-123</v>
      </c>
      <c r="Q94" s="894">
        <f t="shared" si="26"/>
        <v>-123</v>
      </c>
      <c r="R94" s="894">
        <f t="shared" si="26"/>
        <v>-123</v>
      </c>
    </row>
    <row r="95" spans="1:18" x14ac:dyDescent="0.2">
      <c r="G95" s="68" t="s">
        <v>223</v>
      </c>
      <c r="H95" s="890">
        <f t="shared" ref="H95:R95" si="27">H87</f>
        <v>2011</v>
      </c>
      <c r="I95" s="890">
        <f t="shared" si="27"/>
        <v>2012</v>
      </c>
      <c r="J95" s="890">
        <f t="shared" si="27"/>
        <v>2013</v>
      </c>
      <c r="K95" s="890">
        <f t="shared" si="27"/>
        <v>2014</v>
      </c>
      <c r="L95" s="890">
        <f t="shared" si="27"/>
        <v>2015</v>
      </c>
      <c r="M95" s="890">
        <f t="shared" si="27"/>
        <v>2016</v>
      </c>
      <c r="N95" s="890">
        <f t="shared" si="27"/>
        <v>2017</v>
      </c>
      <c r="O95" s="890">
        <f t="shared" si="27"/>
        <v>2018</v>
      </c>
      <c r="P95" s="890">
        <f t="shared" si="27"/>
        <v>2019</v>
      </c>
      <c r="Q95" s="890">
        <f t="shared" si="27"/>
        <v>2020</v>
      </c>
      <c r="R95" s="890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893"/>
      <c r="F96" s="69"/>
      <c r="G96" s="884" t="s">
        <v>227</v>
      </c>
      <c r="H96" s="894">
        <f t="shared" ref="H96:R96" si="28">H6+H12</f>
        <v>0</v>
      </c>
      <c r="I96" s="885">
        <f t="shared" si="28"/>
        <v>239.215</v>
      </c>
      <c r="J96" s="885">
        <f t="shared" si="28"/>
        <v>198.733</v>
      </c>
      <c r="K96" s="885">
        <f t="shared" si="28"/>
        <v>122.63800000000001</v>
      </c>
      <c r="L96" s="885">
        <f t="shared" si="28"/>
        <v>518.774</v>
      </c>
      <c r="M96" s="885">
        <f t="shared" si="28"/>
        <v>659</v>
      </c>
      <c r="N96" s="885">
        <f t="shared" si="28"/>
        <v>150</v>
      </c>
      <c r="O96" s="885">
        <f t="shared" si="28"/>
        <v>573</v>
      </c>
      <c r="P96" s="885">
        <f t="shared" si="28"/>
        <v>117</v>
      </c>
      <c r="Q96" s="885">
        <f t="shared" si="28"/>
        <v>107</v>
      </c>
      <c r="R96" s="885">
        <f t="shared" si="28"/>
        <v>80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893"/>
      <c r="F97" s="69"/>
      <c r="G97" s="18" t="s">
        <v>230</v>
      </c>
      <c r="H97" s="894">
        <f>H19</f>
        <v>0</v>
      </c>
      <c r="I97" s="894">
        <f t="shared" ref="I97:R97" si="29">I19</f>
        <v>253.05600000000001</v>
      </c>
      <c r="J97" s="894">
        <f t="shared" si="29"/>
        <v>282.95599999999996</v>
      </c>
      <c r="K97" s="894">
        <f t="shared" si="29"/>
        <v>280.03000000000003</v>
      </c>
      <c r="L97" s="894">
        <f t="shared" si="29"/>
        <v>539.90300000000002</v>
      </c>
      <c r="M97" s="894">
        <f t="shared" si="29"/>
        <v>590</v>
      </c>
      <c r="N97" s="894">
        <f t="shared" si="29"/>
        <v>2363</v>
      </c>
      <c r="O97" s="894">
        <f t="shared" si="29"/>
        <v>2463</v>
      </c>
      <c r="P97" s="894">
        <f t="shared" si="29"/>
        <v>1694</v>
      </c>
      <c r="Q97" s="894">
        <f t="shared" si="29"/>
        <v>1371</v>
      </c>
      <c r="R97" s="894">
        <f t="shared" si="29"/>
        <v>1031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893"/>
      <c r="F98" s="69"/>
      <c r="G98" s="18" t="s">
        <v>234</v>
      </c>
      <c r="H98" s="894">
        <f t="shared" ref="H98:R98" si="30">H97-H96</f>
        <v>0</v>
      </c>
      <c r="I98" s="885">
        <f t="shared" si="30"/>
        <v>13.841000000000008</v>
      </c>
      <c r="J98" s="885">
        <f t="shared" si="30"/>
        <v>84.222999999999956</v>
      </c>
      <c r="K98" s="885">
        <f t="shared" si="30"/>
        <v>157.39200000000002</v>
      </c>
      <c r="L98" s="885">
        <f t="shared" si="30"/>
        <v>21.129000000000019</v>
      </c>
      <c r="M98" s="885">
        <f t="shared" si="30"/>
        <v>-69</v>
      </c>
      <c r="N98" s="885">
        <f t="shared" si="30"/>
        <v>2213</v>
      </c>
      <c r="O98" s="885">
        <f t="shared" si="30"/>
        <v>1890</v>
      </c>
      <c r="P98" s="885">
        <f t="shared" si="30"/>
        <v>1577</v>
      </c>
      <c r="Q98" s="885">
        <f t="shared" si="30"/>
        <v>1264</v>
      </c>
      <c r="R98" s="885">
        <f t="shared" si="30"/>
        <v>951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895">
        <v>0.4</v>
      </c>
      <c r="F99" s="69"/>
      <c r="G99" s="18" t="s">
        <v>238</v>
      </c>
      <c r="H99" s="901" t="e">
        <f t="shared" ref="H99:R99" si="31">H98/H33</f>
        <v>#DIV/0!</v>
      </c>
      <c r="I99" s="897">
        <f t="shared" si="31"/>
        <v>6.8482814479902234E-3</v>
      </c>
      <c r="J99" s="897">
        <f t="shared" si="31"/>
        <v>4.0109112711545158E-2</v>
      </c>
      <c r="K99" s="897">
        <f t="shared" si="31"/>
        <v>7.18524821866178E-2</v>
      </c>
      <c r="L99" s="897">
        <f t="shared" si="31"/>
        <v>8.6353569415739233E-3</v>
      </c>
      <c r="M99" s="897">
        <f t="shared" si="31"/>
        <v>-2.541436464088398E-2</v>
      </c>
      <c r="N99" s="897">
        <f t="shared" si="31"/>
        <v>0.78586647727272729</v>
      </c>
      <c r="O99" s="897">
        <f t="shared" si="31"/>
        <v>0.5937794533459001</v>
      </c>
      <c r="P99" s="897">
        <f t="shared" si="31"/>
        <v>0.4711682103376158</v>
      </c>
      <c r="Q99" s="897">
        <f t="shared" si="31"/>
        <v>0.3641601843849035</v>
      </c>
      <c r="R99" s="897">
        <f t="shared" si="31"/>
        <v>0.26788732394366199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902">
        <v>0</v>
      </c>
      <c r="E100" s="902">
        <v>5</v>
      </c>
      <c r="F100" s="69"/>
      <c r="G100" s="18" t="s">
        <v>242</v>
      </c>
      <c r="H100" s="898" t="e">
        <f t="shared" ref="H100:R100" si="32">H98/H89</f>
        <v>#DIV/0!</v>
      </c>
      <c r="I100" s="898">
        <f t="shared" si="32"/>
        <v>3.6928142067026153E-2</v>
      </c>
      <c r="J100" s="898">
        <f t="shared" si="32"/>
        <v>-1.4813648755606332</v>
      </c>
      <c r="K100" s="898">
        <f t="shared" si="32"/>
        <v>-3.7002068835809698</v>
      </c>
      <c r="L100" s="898">
        <f t="shared" si="32"/>
        <v>0.14062562396006606</v>
      </c>
      <c r="M100" s="898">
        <f t="shared" si="32"/>
        <v>-0.71134020618556704</v>
      </c>
      <c r="N100" s="898">
        <f t="shared" si="32"/>
        <v>11.647368421052631</v>
      </c>
      <c r="O100" s="898">
        <f t="shared" si="32"/>
        <v>6.096774193548387</v>
      </c>
      <c r="P100" s="898">
        <f t="shared" si="32"/>
        <v>5.0870967741935482</v>
      </c>
      <c r="Q100" s="898">
        <f t="shared" si="32"/>
        <v>4.0774193548387094</v>
      </c>
      <c r="R100" s="898">
        <f t="shared" si="32"/>
        <v>3.0677419354838711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893"/>
      <c r="F101" s="69"/>
      <c r="G101" s="18" t="s">
        <v>246</v>
      </c>
      <c r="H101" s="894">
        <f t="shared" ref="H101:R101" si="33">-(H75+H77+H78+H79+H80+H81)</f>
        <v>0</v>
      </c>
      <c r="I101" s="894">
        <f t="shared" si="33"/>
        <v>0</v>
      </c>
      <c r="J101" s="894">
        <f t="shared" si="33"/>
        <v>0</v>
      </c>
      <c r="K101" s="894">
        <f t="shared" si="33"/>
        <v>0</v>
      </c>
      <c r="L101" s="894">
        <f t="shared" si="33"/>
        <v>0.08</v>
      </c>
      <c r="M101" s="894">
        <f t="shared" si="33"/>
        <v>0</v>
      </c>
      <c r="N101" s="894">
        <f t="shared" si="33"/>
        <v>0</v>
      </c>
      <c r="O101" s="894">
        <f t="shared" si="33"/>
        <v>0</v>
      </c>
      <c r="P101" s="894">
        <f t="shared" si="33"/>
        <v>0</v>
      </c>
      <c r="Q101" s="894">
        <f t="shared" si="33"/>
        <v>0</v>
      </c>
      <c r="R101" s="894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902">
        <v>1.2</v>
      </c>
      <c r="F102" s="69"/>
      <c r="G102" s="18" t="s">
        <v>250</v>
      </c>
      <c r="H102" s="903" t="e">
        <f t="shared" ref="H102:R102" si="34">H89/H101</f>
        <v>#DIV/0!</v>
      </c>
      <c r="I102" s="898" t="e">
        <f t="shared" si="34"/>
        <v>#DIV/0!</v>
      </c>
      <c r="J102" s="898" t="e">
        <f t="shared" si="34"/>
        <v>#DIV/0!</v>
      </c>
      <c r="K102" s="898" t="e">
        <f t="shared" si="34"/>
        <v>#DIV/0!</v>
      </c>
      <c r="L102" s="898">
        <f t="shared" si="34"/>
        <v>1878.1250000000082</v>
      </c>
      <c r="M102" s="898" t="e">
        <f t="shared" si="34"/>
        <v>#DIV/0!</v>
      </c>
      <c r="N102" s="898" t="e">
        <f t="shared" si="34"/>
        <v>#DIV/0!</v>
      </c>
      <c r="O102" s="898" t="e">
        <f t="shared" si="34"/>
        <v>#DIV/0!</v>
      </c>
      <c r="P102" s="898" t="e">
        <f t="shared" si="34"/>
        <v>#DIV/0!</v>
      </c>
      <c r="Q102" s="898" t="e">
        <f t="shared" si="34"/>
        <v>#DIV/0!</v>
      </c>
      <c r="R102" s="898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902">
        <v>0</v>
      </c>
      <c r="F103" s="69"/>
      <c r="G103" s="884" t="s">
        <v>254</v>
      </c>
      <c r="H103" s="894">
        <f t="shared" ref="H103:R103" si="35">H5-H20</f>
        <v>0</v>
      </c>
      <c r="I103" s="894">
        <f t="shared" si="35"/>
        <v>60.919999999999987</v>
      </c>
      <c r="J103" s="894">
        <f t="shared" si="35"/>
        <v>-0.3779999999999859</v>
      </c>
      <c r="K103" s="894">
        <f t="shared" si="35"/>
        <v>-73.448000000000008</v>
      </c>
      <c r="L103" s="894">
        <f t="shared" si="35"/>
        <v>72.55499999999995</v>
      </c>
      <c r="M103" s="894">
        <f t="shared" si="35"/>
        <v>166</v>
      </c>
      <c r="N103" s="894">
        <f t="shared" si="35"/>
        <v>-741</v>
      </c>
      <c r="O103" s="894">
        <f t="shared" si="35"/>
        <v>45</v>
      </c>
      <c r="P103" s="894">
        <f t="shared" si="35"/>
        <v>-1505</v>
      </c>
      <c r="Q103" s="894">
        <f t="shared" si="35"/>
        <v>-1192</v>
      </c>
      <c r="R103" s="894">
        <f t="shared" si="35"/>
        <v>-1401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902">
        <v>1</v>
      </c>
      <c r="F104" s="69"/>
      <c r="G104" s="18" t="s">
        <v>258</v>
      </c>
      <c r="H104" s="903" t="e">
        <f t="shared" ref="H104:R104" si="36">H5/H20</f>
        <v>#DIV/0!</v>
      </c>
      <c r="I104" s="903">
        <f t="shared" si="36"/>
        <v>1.2407372281234192</v>
      </c>
      <c r="J104" s="903">
        <f t="shared" si="36"/>
        <v>0.99866410325280264</v>
      </c>
      <c r="K104" s="903">
        <f t="shared" si="36"/>
        <v>0.73771381637681677</v>
      </c>
      <c r="L104" s="903">
        <f t="shared" si="36"/>
        <v>1.1343852506839192</v>
      </c>
      <c r="M104" s="903">
        <f t="shared" si="36"/>
        <v>1.2813559322033898</v>
      </c>
      <c r="N104" s="903">
        <f t="shared" si="36"/>
        <v>0.23052959501557632</v>
      </c>
      <c r="O104" s="903">
        <f t="shared" si="36"/>
        <v>1.075</v>
      </c>
      <c r="P104" s="903">
        <f t="shared" si="36"/>
        <v>0.1115702479338843</v>
      </c>
      <c r="Q104" s="903">
        <f t="shared" si="36"/>
        <v>0.13056163384390956</v>
      </c>
      <c r="R104" s="903">
        <f t="shared" si="36"/>
        <v>9.7875080489375405E-2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902">
        <v>1</v>
      </c>
      <c r="F105" s="69"/>
      <c r="G105" s="186" t="s">
        <v>262</v>
      </c>
      <c r="H105" s="903" t="e">
        <f t="shared" ref="H105:R105" si="37">-H6/((H38+H41-H45+H47)/12)</f>
        <v>#DIV/0!</v>
      </c>
      <c r="I105" s="903">
        <f t="shared" si="37"/>
        <v>1.7438736791459055</v>
      </c>
      <c r="J105" s="903">
        <f t="shared" si="37"/>
        <v>1.1057605547729823</v>
      </c>
      <c r="K105" s="903">
        <f t="shared" si="37"/>
        <v>0.65904172995901533</v>
      </c>
      <c r="L105" s="903">
        <f t="shared" si="37"/>
        <v>2.7117733872555596</v>
      </c>
      <c r="M105" s="903">
        <f t="shared" si="37"/>
        <v>3.0217806648834542</v>
      </c>
      <c r="N105" s="903">
        <f t="shared" si="37"/>
        <v>0.6854531607006854</v>
      </c>
      <c r="O105" s="903">
        <f t="shared" si="37"/>
        <v>2.3933170901496696</v>
      </c>
      <c r="P105" s="903">
        <f t="shared" si="37"/>
        <v>0.46229832071122817</v>
      </c>
      <c r="Q105" s="903">
        <f t="shared" si="37"/>
        <v>0.40620056944005056</v>
      </c>
      <c r="R105" s="903">
        <f t="shared" si="37"/>
        <v>0.29629629629629628</v>
      </c>
    </row>
    <row r="106" spans="1:18" x14ac:dyDescent="0.2">
      <c r="C106" s="16"/>
      <c r="F106" s="69"/>
      <c r="G106" s="68" t="s">
        <v>263</v>
      </c>
      <c r="H106" s="890">
        <f t="shared" ref="H106:R106" si="38">H95</f>
        <v>2011</v>
      </c>
      <c r="I106" s="890">
        <f t="shared" si="38"/>
        <v>2012</v>
      </c>
      <c r="J106" s="890">
        <f t="shared" si="38"/>
        <v>2013</v>
      </c>
      <c r="K106" s="890">
        <f t="shared" si="38"/>
        <v>2014</v>
      </c>
      <c r="L106" s="890">
        <f t="shared" si="38"/>
        <v>2015</v>
      </c>
      <c r="M106" s="890">
        <f t="shared" si="38"/>
        <v>2016</v>
      </c>
      <c r="N106" s="890">
        <f t="shared" si="38"/>
        <v>2017</v>
      </c>
      <c r="O106" s="890">
        <f t="shared" si="38"/>
        <v>2018</v>
      </c>
      <c r="P106" s="890">
        <f t="shared" si="38"/>
        <v>2019</v>
      </c>
      <c r="Q106" s="890">
        <f t="shared" si="38"/>
        <v>2020</v>
      </c>
      <c r="R106" s="890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895">
        <v>0.6</v>
      </c>
      <c r="F107" s="69"/>
      <c r="G107" s="884" t="s">
        <v>267</v>
      </c>
      <c r="H107" s="901" t="e">
        <f t="shared" ref="H107:R107" si="39">H17/H4</f>
        <v>#DIV/0!</v>
      </c>
      <c r="I107" s="901">
        <f t="shared" si="39"/>
        <v>0</v>
      </c>
      <c r="J107" s="901">
        <f t="shared" si="39"/>
        <v>0</v>
      </c>
      <c r="K107" s="901">
        <f t="shared" si="39"/>
        <v>0</v>
      </c>
      <c r="L107" s="901">
        <f t="shared" si="39"/>
        <v>0</v>
      </c>
      <c r="M107" s="901">
        <f t="shared" si="39"/>
        <v>0</v>
      </c>
      <c r="N107" s="901">
        <f t="shared" si="39"/>
        <v>0</v>
      </c>
      <c r="O107" s="901">
        <f t="shared" si="39"/>
        <v>0</v>
      </c>
      <c r="P107" s="901">
        <f t="shared" si="39"/>
        <v>0</v>
      </c>
      <c r="Q107" s="901">
        <f t="shared" si="39"/>
        <v>0</v>
      </c>
      <c r="R107" s="901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895">
        <v>0.4</v>
      </c>
      <c r="F108" s="69"/>
      <c r="G108" s="186" t="s">
        <v>271</v>
      </c>
      <c r="H108" s="901" t="e">
        <f t="shared" ref="H108:R108" si="40">H27/H17</f>
        <v>#DIV/0!</v>
      </c>
      <c r="I108" s="901" t="e">
        <f t="shared" si="40"/>
        <v>#DIV/0!</v>
      </c>
      <c r="J108" s="901" t="e">
        <f t="shared" si="40"/>
        <v>#DIV/0!</v>
      </c>
      <c r="K108" s="901" t="e">
        <f t="shared" si="40"/>
        <v>#DIV/0!</v>
      </c>
      <c r="L108" s="901" t="e">
        <f t="shared" si="40"/>
        <v>#DIV/0!</v>
      </c>
      <c r="M108" s="901" t="e">
        <f t="shared" si="40"/>
        <v>#DIV/0!</v>
      </c>
      <c r="N108" s="901" t="e">
        <f t="shared" si="40"/>
        <v>#DIV/0!</v>
      </c>
      <c r="O108" s="901" t="e">
        <f t="shared" si="40"/>
        <v>#DIV/0!</v>
      </c>
      <c r="P108" s="901" t="e">
        <f t="shared" si="40"/>
        <v>#DIV/0!</v>
      </c>
      <c r="Q108" s="901" t="e">
        <f t="shared" si="40"/>
        <v>#DIV/0!</v>
      </c>
      <c r="R108" s="901" t="e">
        <f t="shared" si="40"/>
        <v>#DIV/0!</v>
      </c>
    </row>
    <row r="109" spans="1:18" x14ac:dyDescent="0.2">
      <c r="C109" s="16"/>
      <c r="F109" s="69"/>
      <c r="G109" s="198" t="s">
        <v>272</v>
      </c>
      <c r="H109" s="890">
        <f t="shared" ref="H109:R109" si="41">H95</f>
        <v>2011</v>
      </c>
      <c r="I109" s="890">
        <f t="shared" si="41"/>
        <v>2012</v>
      </c>
      <c r="J109" s="890">
        <f t="shared" si="41"/>
        <v>2013</v>
      </c>
      <c r="K109" s="890">
        <f t="shared" si="41"/>
        <v>2014</v>
      </c>
      <c r="L109" s="890">
        <f t="shared" si="41"/>
        <v>2015</v>
      </c>
      <c r="M109" s="890">
        <f t="shared" si="41"/>
        <v>2016</v>
      </c>
      <c r="N109" s="890">
        <f t="shared" si="41"/>
        <v>2017</v>
      </c>
      <c r="O109" s="890">
        <f t="shared" si="41"/>
        <v>2018</v>
      </c>
      <c r="P109" s="890">
        <f t="shared" si="41"/>
        <v>2019</v>
      </c>
      <c r="Q109" s="890">
        <f t="shared" si="41"/>
        <v>2020</v>
      </c>
      <c r="R109" s="890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893"/>
      <c r="F110" s="69"/>
      <c r="G110" s="18" t="s">
        <v>276</v>
      </c>
      <c r="H110" s="904" t="e">
        <f t="shared" ref="H110:R110" si="42">H10/H4</f>
        <v>#DIV/0!</v>
      </c>
      <c r="I110" s="904">
        <f t="shared" si="42"/>
        <v>0.91327695904785178</v>
      </c>
      <c r="J110" s="904">
        <f t="shared" si="42"/>
        <v>0.91835120153856109</v>
      </c>
      <c r="K110" s="904">
        <f t="shared" si="42"/>
        <v>0.93702098548490753</v>
      </c>
      <c r="L110" s="904">
        <f t="shared" si="42"/>
        <v>0.827623795007699</v>
      </c>
      <c r="M110" s="904">
        <f t="shared" si="42"/>
        <v>0.78704225352112678</v>
      </c>
      <c r="N110" s="904">
        <f t="shared" si="42"/>
        <v>0.95829419500281798</v>
      </c>
      <c r="O110" s="904">
        <f t="shared" si="42"/>
        <v>0.88106214272542871</v>
      </c>
      <c r="P110" s="904">
        <f t="shared" si="42"/>
        <v>0.95938977223893429</v>
      </c>
      <c r="Q110" s="904">
        <f t="shared" si="42"/>
        <v>0.95867005310551834</v>
      </c>
      <c r="R110" s="904">
        <f t="shared" si="42"/>
        <v>0.96191430719118021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893"/>
      <c r="F111" s="69"/>
      <c r="G111" s="18" t="s">
        <v>280</v>
      </c>
      <c r="H111" s="904" t="e">
        <f t="shared" ref="H111:R111" si="43">-(H58)/H15</f>
        <v>#DIV/0!</v>
      </c>
      <c r="I111" s="904">
        <f t="shared" si="43"/>
        <v>2.2829260645489996E-3</v>
      </c>
      <c r="J111" s="904">
        <f t="shared" si="43"/>
        <v>1.4614946670747399E-3</v>
      </c>
      <c r="K111" s="904">
        <f t="shared" si="43"/>
        <v>1.039722259488253E-2</v>
      </c>
      <c r="L111" s="904">
        <f t="shared" si="43"/>
        <v>1.8330979462177254E-3</v>
      </c>
      <c r="M111" s="904">
        <f t="shared" si="43"/>
        <v>1.8775816748028539E-3</v>
      </c>
      <c r="N111" s="904">
        <f t="shared" si="43"/>
        <v>0.2815202091292982</v>
      </c>
      <c r="O111" s="904">
        <f t="shared" si="43"/>
        <v>0.40038684719535783</v>
      </c>
      <c r="P111" s="904">
        <f t="shared" si="43"/>
        <v>0</v>
      </c>
      <c r="Q111" s="904">
        <f t="shared" si="43"/>
        <v>0</v>
      </c>
      <c r="R111" s="904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893"/>
      <c r="F112" s="69"/>
      <c r="G112" s="884" t="s">
        <v>284</v>
      </c>
      <c r="H112" s="898" t="e">
        <f t="shared" ref="H112:R112" si="44">H33/H4</f>
        <v>#DIV/0!</v>
      </c>
      <c r="I112" s="898">
        <f t="shared" si="44"/>
        <v>0.55824380704581889</v>
      </c>
      <c r="J112" s="898">
        <f t="shared" si="44"/>
        <v>0.60673507669690152</v>
      </c>
      <c r="K112" s="898">
        <f t="shared" si="44"/>
        <v>0.66779668871022613</v>
      </c>
      <c r="L112" s="898">
        <f t="shared" si="44"/>
        <v>0.688651745509679</v>
      </c>
      <c r="M112" s="898">
        <f t="shared" si="44"/>
        <v>0.76478873239436618</v>
      </c>
      <c r="N112" s="898">
        <f t="shared" si="44"/>
        <v>0.52902498591020097</v>
      </c>
      <c r="O112" s="898">
        <f t="shared" si="44"/>
        <v>0.58694449566660523</v>
      </c>
      <c r="P112" s="898">
        <f t="shared" si="44"/>
        <v>0.71916630855178343</v>
      </c>
      <c r="Q112" s="898">
        <f t="shared" si="44"/>
        <v>0.80143154006003237</v>
      </c>
      <c r="R112" s="898">
        <f t="shared" si="44"/>
        <v>0.8895013781007266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893"/>
      <c r="F113" s="69"/>
      <c r="G113" s="186" t="s">
        <v>288</v>
      </c>
      <c r="H113" s="898" t="e">
        <f t="shared" ref="H113:R113" si="45">H33/H15</f>
        <v>#DIV/0!</v>
      </c>
      <c r="I113" s="898">
        <f t="shared" si="45"/>
        <v>0.63879292852352232</v>
      </c>
      <c r="J113" s="898">
        <f t="shared" si="45"/>
        <v>0.69104147538232175</v>
      </c>
      <c r="K113" s="898">
        <f t="shared" si="45"/>
        <v>0.74586511633925134</v>
      </c>
      <c r="L113" s="898">
        <f t="shared" si="45"/>
        <v>0.87176402097249328</v>
      </c>
      <c r="M113" s="898">
        <f t="shared" si="45"/>
        <v>1.0195268494179497</v>
      </c>
      <c r="N113" s="898">
        <f t="shared" si="45"/>
        <v>0.56625779207721694</v>
      </c>
      <c r="O113" s="898">
        <f t="shared" si="45"/>
        <v>0.6840747904577692</v>
      </c>
      <c r="P113" s="898">
        <f t="shared" si="45"/>
        <v>0.77066543863688697</v>
      </c>
      <c r="Q113" s="898">
        <f t="shared" si="45"/>
        <v>0.86064964046615422</v>
      </c>
      <c r="R113" s="898">
        <f t="shared" si="45"/>
        <v>0.95353209777061509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895">
        <v>0.5</v>
      </c>
      <c r="E114" s="895">
        <f>1/3</f>
        <v>0.33333333333333331</v>
      </c>
      <c r="F114" s="69"/>
      <c r="G114" s="18" t="s">
        <v>292</v>
      </c>
      <c r="H114" s="904" t="e">
        <f t="shared" ref="H114:R114" si="46">H27/H4</f>
        <v>#DIV/0!</v>
      </c>
      <c r="I114" s="904">
        <f t="shared" si="46"/>
        <v>0.93010334364974467</v>
      </c>
      <c r="J114" s="904">
        <f t="shared" si="46"/>
        <v>0.91824227020979532</v>
      </c>
      <c r="K114" s="904">
        <f t="shared" si="46"/>
        <v>0.91462917188488879</v>
      </c>
      <c r="L114" s="904">
        <f t="shared" si="46"/>
        <v>0.84804466946671708</v>
      </c>
      <c r="M114" s="904">
        <f t="shared" si="46"/>
        <v>0.83380281690140845</v>
      </c>
      <c r="N114" s="904">
        <f t="shared" si="46"/>
        <v>0.55607739996242722</v>
      </c>
      <c r="O114" s="904">
        <f t="shared" si="46"/>
        <v>0.54582334501198604</v>
      </c>
      <c r="P114" s="904">
        <f t="shared" si="46"/>
        <v>0.63601203266007733</v>
      </c>
      <c r="Q114" s="904">
        <f t="shared" si="46"/>
        <v>0.68344493188640032</v>
      </c>
      <c r="R114" s="904">
        <f t="shared" si="46"/>
        <v>0.7416687546980707</v>
      </c>
    </row>
    <row r="115" spans="1:19" x14ac:dyDescent="0.2">
      <c r="A115" s="77"/>
      <c r="C115" s="77"/>
      <c r="D115" s="78"/>
      <c r="E115" s="79"/>
      <c r="F115" s="69"/>
      <c r="G115" s="882" t="s">
        <v>293</v>
      </c>
      <c r="H115" s="890">
        <f t="shared" ref="H115:R115" si="47">H109</f>
        <v>2011</v>
      </c>
      <c r="I115" s="890">
        <f t="shared" si="47"/>
        <v>2012</v>
      </c>
      <c r="J115" s="890">
        <f t="shared" si="47"/>
        <v>2013</v>
      </c>
      <c r="K115" s="890">
        <f t="shared" si="47"/>
        <v>2014</v>
      </c>
      <c r="L115" s="890">
        <f t="shared" si="47"/>
        <v>2015</v>
      </c>
      <c r="M115" s="890">
        <f t="shared" si="47"/>
        <v>2016</v>
      </c>
      <c r="N115" s="890">
        <f t="shared" si="47"/>
        <v>2017</v>
      </c>
      <c r="O115" s="890">
        <f t="shared" si="47"/>
        <v>2018</v>
      </c>
      <c r="P115" s="890">
        <f t="shared" si="47"/>
        <v>2019</v>
      </c>
      <c r="Q115" s="890">
        <f t="shared" si="47"/>
        <v>2020</v>
      </c>
      <c r="R115" s="890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895">
        <v>0.95</v>
      </c>
      <c r="G116" s="884" t="s">
        <v>297</v>
      </c>
      <c r="H116" s="897" t="e">
        <f t="shared" ref="H116:R116" si="48">H35/H33</f>
        <v>#DIV/0!</v>
      </c>
      <c r="I116" s="897">
        <f t="shared" si="48"/>
        <v>0.47062156033548219</v>
      </c>
      <c r="J116" s="897">
        <f t="shared" si="48"/>
        <v>0.53098725764305688</v>
      </c>
      <c r="K116" s="897">
        <f t="shared" si="48"/>
        <v>0.53769388373732241</v>
      </c>
      <c r="L116" s="897">
        <f t="shared" si="48"/>
        <v>0.52399071277149223</v>
      </c>
      <c r="M116" s="897">
        <f t="shared" si="48"/>
        <v>0.54622467771639038</v>
      </c>
      <c r="N116" s="897">
        <f t="shared" si="48"/>
        <v>0.52911931818181823</v>
      </c>
      <c r="O116" s="897">
        <f t="shared" si="48"/>
        <v>0.47282437951617973</v>
      </c>
      <c r="P116" s="897">
        <f t="shared" si="48"/>
        <v>0.44935763370182252</v>
      </c>
      <c r="Q116" s="897">
        <f t="shared" si="48"/>
        <v>0.44396427542494959</v>
      </c>
      <c r="R116" s="897">
        <f t="shared" si="48"/>
        <v>0.43070422535211267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895">
        <v>0.05</v>
      </c>
      <c r="G117" s="18" t="s">
        <v>301</v>
      </c>
      <c r="H117" s="904" t="e">
        <f t="shared" ref="H117:R117" si="49">(H36+H34)/H33</f>
        <v>#DIV/0!</v>
      </c>
      <c r="I117" s="904">
        <f t="shared" si="49"/>
        <v>0.52996574622320325</v>
      </c>
      <c r="J117" s="904">
        <f t="shared" si="49"/>
        <v>0.46901274235694324</v>
      </c>
      <c r="K117" s="904">
        <f t="shared" si="49"/>
        <v>0.46230611626267759</v>
      </c>
      <c r="L117" s="904">
        <f t="shared" si="49"/>
        <v>0.47600928722850772</v>
      </c>
      <c r="M117" s="904">
        <f t="shared" si="49"/>
        <v>0.45377532228360956</v>
      </c>
      <c r="N117" s="904">
        <f t="shared" si="49"/>
        <v>0.45419034090909088</v>
      </c>
      <c r="O117" s="904">
        <f t="shared" si="49"/>
        <v>0.52057807100219922</v>
      </c>
      <c r="P117" s="904">
        <f t="shared" si="49"/>
        <v>0.54436809082760684</v>
      </c>
      <c r="Q117" s="904">
        <f t="shared" si="49"/>
        <v>0.54998559492941512</v>
      </c>
      <c r="R117" s="904">
        <f t="shared" si="49"/>
        <v>0.56338028169014087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895">
        <v>0.05</v>
      </c>
      <c r="G118" s="186" t="s">
        <v>305</v>
      </c>
      <c r="H118" s="897" t="e">
        <f t="shared" ref="H118:R118" si="50">H38/(H38+H41)</f>
        <v>#DIV/0!</v>
      </c>
      <c r="I118" s="897">
        <f t="shared" si="50"/>
        <v>0</v>
      </c>
      <c r="J118" s="897">
        <f t="shared" si="50"/>
        <v>0</v>
      </c>
      <c r="K118" s="897">
        <f t="shared" si="50"/>
        <v>0</v>
      </c>
      <c r="L118" s="897">
        <f t="shared" si="50"/>
        <v>0</v>
      </c>
      <c r="M118" s="897">
        <f t="shared" si="50"/>
        <v>0</v>
      </c>
      <c r="N118" s="897">
        <f t="shared" si="50"/>
        <v>0</v>
      </c>
      <c r="O118" s="897">
        <f t="shared" si="50"/>
        <v>0</v>
      </c>
      <c r="P118" s="897">
        <f t="shared" si="50"/>
        <v>0</v>
      </c>
      <c r="Q118" s="897">
        <f t="shared" si="50"/>
        <v>0</v>
      </c>
      <c r="R118" s="897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882" t="s">
        <v>306</v>
      </c>
      <c r="H119" s="890">
        <f>H115</f>
        <v>2011</v>
      </c>
      <c r="I119" s="890">
        <f t="shared" ref="I119:R119" si="51">I115</f>
        <v>2012</v>
      </c>
      <c r="J119" s="890">
        <f t="shared" si="51"/>
        <v>2013</v>
      </c>
      <c r="K119" s="890">
        <f t="shared" si="51"/>
        <v>2014</v>
      </c>
      <c r="L119" s="890">
        <f t="shared" si="51"/>
        <v>2015</v>
      </c>
      <c r="M119" s="890">
        <f t="shared" si="51"/>
        <v>2016</v>
      </c>
      <c r="N119" s="890">
        <f t="shared" si="51"/>
        <v>2017</v>
      </c>
      <c r="O119" s="890">
        <f t="shared" si="51"/>
        <v>2018</v>
      </c>
      <c r="P119" s="890">
        <f t="shared" si="51"/>
        <v>2019</v>
      </c>
      <c r="Q119" s="890">
        <f t="shared" si="51"/>
        <v>2020</v>
      </c>
      <c r="R119" s="890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905">
        <v>0.5</v>
      </c>
      <c r="E120" s="906" t="s">
        <v>310</v>
      </c>
      <c r="F120" s="4"/>
      <c r="G120" s="884" t="s">
        <v>311</v>
      </c>
      <c r="H120" s="898" t="e">
        <f t="shared" ref="H120:R120" si="52">IF(H116&lt;$D$120,$E$120,H35/H4)</f>
        <v>#DIV/0!</v>
      </c>
      <c r="I120" s="898" t="str">
        <f t="shared" si="52"/>
        <v>N/A</v>
      </c>
      <c r="J120" s="898">
        <f t="shared" si="52"/>
        <v>0.32216859449113755</v>
      </c>
      <c r="K120" s="898">
        <f t="shared" si="52"/>
        <v>0.35907019509952526</v>
      </c>
      <c r="L120" s="898">
        <f t="shared" si="52"/>
        <v>0.36084711898094896</v>
      </c>
      <c r="M120" s="898">
        <f t="shared" si="52"/>
        <v>0.41774647887323946</v>
      </c>
      <c r="N120" s="898">
        <f t="shared" si="52"/>
        <v>0.27991733984595152</v>
      </c>
      <c r="O120" s="898" t="str">
        <f t="shared" si="52"/>
        <v>N/A</v>
      </c>
      <c r="P120" s="898" t="str">
        <f t="shared" si="52"/>
        <v>N/A</v>
      </c>
      <c r="Q120" s="898" t="str">
        <f t="shared" si="52"/>
        <v>N/A</v>
      </c>
      <c r="R120" s="898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905">
        <v>0.5</v>
      </c>
      <c r="E121" s="906" t="s">
        <v>310</v>
      </c>
      <c r="F121" s="4"/>
      <c r="G121" s="18" t="s">
        <v>315</v>
      </c>
      <c r="H121" s="898" t="e">
        <f t="shared" ref="H121:R121" si="53">IF(H116&lt;$D$121,$E$121,H35/H15)</f>
        <v>#DIV/0!</v>
      </c>
      <c r="I121" s="898" t="str">
        <f t="shared" si="53"/>
        <v>N/A</v>
      </c>
      <c r="J121" s="898">
        <f t="shared" si="53"/>
        <v>0.36693421793087105</v>
      </c>
      <c r="K121" s="898">
        <f t="shared" si="53"/>
        <v>0.40104711114864194</v>
      </c>
      <c r="L121" s="898">
        <f t="shared" si="53"/>
        <v>0.45679625071791885</v>
      </c>
      <c r="M121" s="898">
        <f t="shared" si="53"/>
        <v>0.55689072474652646</v>
      </c>
      <c r="N121" s="898">
        <f t="shared" si="53"/>
        <v>0.29961793685903881</v>
      </c>
      <c r="O121" s="898" t="str">
        <f t="shared" si="53"/>
        <v>N/A</v>
      </c>
      <c r="P121" s="898" t="str">
        <f t="shared" si="53"/>
        <v>N/A</v>
      </c>
      <c r="Q121" s="898" t="str">
        <f t="shared" si="53"/>
        <v>N/A</v>
      </c>
      <c r="R121" s="898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905">
        <v>0.5</v>
      </c>
      <c r="E122" s="906" t="s">
        <v>310</v>
      </c>
      <c r="F122" s="4"/>
      <c r="G122" s="884" t="s">
        <v>318</v>
      </c>
      <c r="H122" s="904" t="e">
        <f t="shared" ref="H122:R122" si="54">IF(H116&lt;$D$122,$E$122,H46/H33)</f>
        <v>#DIV/0!</v>
      </c>
      <c r="I122" s="904" t="str">
        <f t="shared" si="54"/>
        <v>N/A</v>
      </c>
      <c r="J122" s="904">
        <f t="shared" si="54"/>
        <v>-9.0219430272777082E-2</v>
      </c>
      <c r="K122" s="904">
        <f t="shared" si="54"/>
        <v>-8.116867109064281E-2</v>
      </c>
      <c r="L122" s="904">
        <f t="shared" si="54"/>
        <v>4.9403282081381551E-3</v>
      </c>
      <c r="M122" s="904">
        <f t="shared" si="54"/>
        <v>-1.9889502762430938E-2</v>
      </c>
      <c r="N122" s="904">
        <f t="shared" si="54"/>
        <v>0</v>
      </c>
      <c r="O122" s="904" t="str">
        <f t="shared" si="54"/>
        <v>N/A</v>
      </c>
      <c r="P122" s="904" t="str">
        <f t="shared" si="54"/>
        <v>N/A</v>
      </c>
      <c r="Q122" s="904" t="str">
        <f t="shared" si="54"/>
        <v>N/A</v>
      </c>
      <c r="R122" s="904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905">
        <v>0.5</v>
      </c>
      <c r="E123" s="906" t="s">
        <v>310</v>
      </c>
      <c r="F123" s="4"/>
      <c r="G123" s="18" t="s">
        <v>322</v>
      </c>
      <c r="H123" s="904" t="e">
        <f t="shared" ref="H123:R123" si="55">IF(H116&lt;$D$122,$E$123,H51/H33)</f>
        <v>#DIV/0!</v>
      </c>
      <c r="I123" s="904" t="str">
        <f t="shared" si="55"/>
        <v>N/A</v>
      </c>
      <c r="J123" s="904">
        <f t="shared" si="55"/>
        <v>-9.0219430272777082E-2</v>
      </c>
      <c r="K123" s="904">
        <f t="shared" si="55"/>
        <v>-8.116867109064281E-2</v>
      </c>
      <c r="L123" s="904">
        <f t="shared" si="55"/>
        <v>5.3077467272576095E-3</v>
      </c>
      <c r="M123" s="904">
        <f t="shared" si="55"/>
        <v>-1.9521178637200737E-2</v>
      </c>
      <c r="N123" s="904">
        <f t="shared" si="55"/>
        <v>0</v>
      </c>
      <c r="O123" s="904" t="str">
        <f t="shared" si="55"/>
        <v>N/A</v>
      </c>
      <c r="P123" s="904" t="str">
        <f t="shared" si="55"/>
        <v>N/A</v>
      </c>
      <c r="Q123" s="904" t="str">
        <f t="shared" si="55"/>
        <v>N/A</v>
      </c>
      <c r="R123" s="904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905">
        <v>0.5</v>
      </c>
      <c r="E124" s="906" t="s">
        <v>310</v>
      </c>
      <c r="F124" s="4"/>
      <c r="G124" s="18" t="s">
        <v>326</v>
      </c>
      <c r="H124" s="904" t="e">
        <f t="shared" ref="H124:R124" si="56">IF(H116&lt;$D$124,$E$124,H51/H4)</f>
        <v>#DIV/0!</v>
      </c>
      <c r="I124" s="904" t="str">
        <f t="shared" si="56"/>
        <v>N/A</v>
      </c>
      <c r="J124" s="904">
        <f t="shared" si="56"/>
        <v>-5.4739292946104162E-2</v>
      </c>
      <c r="K124" s="904">
        <f t="shared" si="56"/>
        <v>-5.4204169781340725E-2</v>
      </c>
      <c r="L124" s="904">
        <f t="shared" si="56"/>
        <v>3.6551890484492386E-3</v>
      </c>
      <c r="M124" s="904">
        <f t="shared" si="56"/>
        <v>-1.4929577464788733E-2</v>
      </c>
      <c r="N124" s="904">
        <f t="shared" si="56"/>
        <v>0</v>
      </c>
      <c r="O124" s="904" t="str">
        <f t="shared" si="56"/>
        <v>N/A</v>
      </c>
      <c r="P124" s="904" t="str">
        <f t="shared" si="56"/>
        <v>N/A</v>
      </c>
      <c r="Q124" s="904" t="str">
        <f t="shared" si="56"/>
        <v>N/A</v>
      </c>
      <c r="R124" s="904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905">
        <v>0.5</v>
      </c>
      <c r="E125" s="906" t="s">
        <v>310</v>
      </c>
      <c r="F125" s="4"/>
      <c r="G125" s="186" t="s">
        <v>330</v>
      </c>
      <c r="H125" s="904" t="e">
        <f t="shared" ref="H125:R125" si="57">IF(H116&lt;$D$125,$E$125,H51/H27)</f>
        <v>#DIV/0!</v>
      </c>
      <c r="I125" s="904" t="str">
        <f t="shared" si="57"/>
        <v>N/A</v>
      </c>
      <c r="J125" s="904">
        <f t="shared" si="57"/>
        <v>-5.9613126864218095E-2</v>
      </c>
      <c r="K125" s="904">
        <f t="shared" si="57"/>
        <v>-5.9263547946579842E-2</v>
      </c>
      <c r="L125" s="904">
        <f t="shared" si="57"/>
        <v>4.3101374020165254E-3</v>
      </c>
      <c r="M125" s="904">
        <f t="shared" si="57"/>
        <v>-1.7905405405405406E-2</v>
      </c>
      <c r="N125" s="904">
        <f t="shared" si="57"/>
        <v>0</v>
      </c>
      <c r="O125" s="904" t="str">
        <f t="shared" si="57"/>
        <v>N/A</v>
      </c>
      <c r="P125" s="904" t="str">
        <f t="shared" si="57"/>
        <v>N/A</v>
      </c>
      <c r="Q125" s="904" t="str">
        <f t="shared" si="57"/>
        <v>N/A</v>
      </c>
      <c r="R125" s="904" t="str">
        <f t="shared" si="57"/>
        <v>N/A</v>
      </c>
    </row>
    <row r="126" spans="1:19" x14ac:dyDescent="0.2">
      <c r="C126" s="78"/>
      <c r="D126" s="78"/>
      <c r="E126" s="79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H127" s="890">
        <f>H119</f>
        <v>2011</v>
      </c>
      <c r="I127" s="890">
        <f t="shared" ref="I127:R127" si="58">I119</f>
        <v>2012</v>
      </c>
      <c r="J127" s="890">
        <f t="shared" si="58"/>
        <v>2013</v>
      </c>
      <c r="K127" s="890">
        <f t="shared" si="58"/>
        <v>2014</v>
      </c>
      <c r="L127" s="890">
        <f t="shared" si="58"/>
        <v>2015</v>
      </c>
      <c r="M127" s="890">
        <f t="shared" si="58"/>
        <v>2016</v>
      </c>
      <c r="N127" s="890">
        <f t="shared" si="58"/>
        <v>2017</v>
      </c>
      <c r="O127" s="890">
        <f t="shared" si="58"/>
        <v>2018</v>
      </c>
      <c r="P127" s="890">
        <f t="shared" si="58"/>
        <v>2019</v>
      </c>
      <c r="Q127" s="890">
        <f t="shared" si="58"/>
        <v>2020</v>
      </c>
      <c r="R127" s="890">
        <f t="shared" si="58"/>
        <v>2021</v>
      </c>
    </row>
    <row r="128" spans="1:19" x14ac:dyDescent="0.2">
      <c r="G128" s="907" t="s">
        <v>331</v>
      </c>
      <c r="H128" s="908">
        <f t="shared" ref="H128:R128" si="59">H33</f>
        <v>0</v>
      </c>
      <c r="I128" s="908">
        <f t="shared" si="59"/>
        <v>2021.0909999999999</v>
      </c>
      <c r="J128" s="908">
        <f t="shared" si="59"/>
        <v>2099.8469999999998</v>
      </c>
      <c r="K128" s="908">
        <f t="shared" si="59"/>
        <v>2190.4879999999998</v>
      </c>
      <c r="L128" s="908">
        <f t="shared" si="59"/>
        <v>2446.8010000000004</v>
      </c>
      <c r="M128" s="908">
        <f t="shared" si="59"/>
        <v>2715</v>
      </c>
      <c r="N128" s="908">
        <f t="shared" si="59"/>
        <v>2816</v>
      </c>
      <c r="O128" s="908">
        <f t="shared" si="59"/>
        <v>3183</v>
      </c>
      <c r="P128" s="908">
        <f t="shared" si="59"/>
        <v>3347</v>
      </c>
      <c r="Q128" s="908">
        <f t="shared" si="59"/>
        <v>3471</v>
      </c>
      <c r="R128" s="908">
        <f t="shared" si="59"/>
        <v>3550</v>
      </c>
    </row>
    <row r="129" spans="3:19" x14ac:dyDescent="0.2">
      <c r="G129" s="907" t="s">
        <v>332</v>
      </c>
      <c r="H129" s="908">
        <f t="shared" ref="H129:R130" si="60">H35</f>
        <v>0</v>
      </c>
      <c r="I129" s="908">
        <f t="shared" si="60"/>
        <v>951.16899999999998</v>
      </c>
      <c r="J129" s="908">
        <f t="shared" si="60"/>
        <v>1114.992</v>
      </c>
      <c r="K129" s="908">
        <f t="shared" si="60"/>
        <v>1177.8119999999999</v>
      </c>
      <c r="L129" s="908">
        <f t="shared" si="60"/>
        <v>1282.1010000000001</v>
      </c>
      <c r="M129" s="908">
        <f t="shared" si="60"/>
        <v>1483</v>
      </c>
      <c r="N129" s="908">
        <f t="shared" si="60"/>
        <v>1490</v>
      </c>
      <c r="O129" s="908">
        <f t="shared" si="60"/>
        <v>1505</v>
      </c>
      <c r="P129" s="908">
        <f t="shared" si="60"/>
        <v>1504</v>
      </c>
      <c r="Q129" s="908">
        <f t="shared" si="60"/>
        <v>1541</v>
      </c>
      <c r="R129" s="908">
        <f t="shared" si="60"/>
        <v>1529</v>
      </c>
    </row>
    <row r="130" spans="3:19" x14ac:dyDescent="0.2">
      <c r="G130" s="907" t="s">
        <v>333</v>
      </c>
      <c r="H130" s="908">
        <f t="shared" si="60"/>
        <v>0</v>
      </c>
      <c r="I130" s="908">
        <f t="shared" si="60"/>
        <v>1071.1089999999999</v>
      </c>
      <c r="J130" s="908">
        <f t="shared" si="60"/>
        <v>984.85500000000002</v>
      </c>
      <c r="K130" s="908">
        <f t="shared" si="60"/>
        <v>1012.676</v>
      </c>
      <c r="L130" s="908">
        <f t="shared" si="60"/>
        <v>1164.7</v>
      </c>
      <c r="M130" s="908">
        <f t="shared" si="60"/>
        <v>1232</v>
      </c>
      <c r="N130" s="908">
        <f t="shared" si="60"/>
        <v>1279</v>
      </c>
      <c r="O130" s="908">
        <f t="shared" si="60"/>
        <v>1657</v>
      </c>
      <c r="P130" s="908">
        <f t="shared" si="60"/>
        <v>1822</v>
      </c>
      <c r="Q130" s="908">
        <f t="shared" si="60"/>
        <v>1909</v>
      </c>
      <c r="R130" s="908">
        <f t="shared" si="60"/>
        <v>2000</v>
      </c>
    </row>
    <row r="131" spans="3:19" x14ac:dyDescent="0.2">
      <c r="G131" s="907" t="s">
        <v>334</v>
      </c>
      <c r="H131" s="908">
        <f t="shared" ref="H131:R131" si="61">H38+H41</f>
        <v>0</v>
      </c>
      <c r="I131" s="908">
        <f t="shared" si="61"/>
        <v>-1736.5549999999998</v>
      </c>
      <c r="J131" s="908">
        <f t="shared" si="61"/>
        <v>-2289.2939999999999</v>
      </c>
      <c r="K131" s="908">
        <f t="shared" si="61"/>
        <v>-2368.2869999999998</v>
      </c>
      <c r="L131" s="908">
        <f t="shared" si="61"/>
        <v>-2434.7129999999997</v>
      </c>
      <c r="M131" s="908">
        <f t="shared" si="61"/>
        <v>-2769</v>
      </c>
      <c r="N131" s="908">
        <f t="shared" si="61"/>
        <v>-2816</v>
      </c>
      <c r="O131" s="908">
        <f t="shared" si="61"/>
        <v>-3183</v>
      </c>
      <c r="P131" s="908">
        <f t="shared" si="61"/>
        <v>-3347</v>
      </c>
      <c r="Q131" s="908">
        <f t="shared" si="61"/>
        <v>-3471</v>
      </c>
      <c r="R131" s="908">
        <f t="shared" si="61"/>
        <v>-3550</v>
      </c>
    </row>
    <row r="132" spans="3:19" x14ac:dyDescent="0.2">
      <c r="G132" s="907" t="s">
        <v>335</v>
      </c>
      <c r="H132" s="908">
        <f t="shared" ref="H132:R132" si="62">H41</f>
        <v>0</v>
      </c>
      <c r="I132" s="908">
        <f t="shared" si="62"/>
        <v>-1736.5549999999998</v>
      </c>
      <c r="J132" s="908">
        <f t="shared" si="62"/>
        <v>-2289.2939999999999</v>
      </c>
      <c r="K132" s="908">
        <f t="shared" si="62"/>
        <v>-2368.2869999999998</v>
      </c>
      <c r="L132" s="908">
        <f t="shared" si="62"/>
        <v>-2434.7129999999997</v>
      </c>
      <c r="M132" s="908">
        <f t="shared" si="62"/>
        <v>-2769</v>
      </c>
      <c r="N132" s="908">
        <f t="shared" si="62"/>
        <v>-2816</v>
      </c>
      <c r="O132" s="908">
        <f t="shared" si="62"/>
        <v>-3183</v>
      </c>
      <c r="P132" s="908">
        <f t="shared" si="62"/>
        <v>-3347</v>
      </c>
      <c r="Q132" s="908">
        <f t="shared" si="62"/>
        <v>-3471</v>
      </c>
      <c r="R132" s="908">
        <f t="shared" si="62"/>
        <v>-3550</v>
      </c>
    </row>
    <row r="133" spans="3:19" x14ac:dyDescent="0.2">
      <c r="G133" s="907" t="s">
        <v>336</v>
      </c>
      <c r="H133" s="908">
        <f t="shared" ref="H133:R133" si="63">H38</f>
        <v>0</v>
      </c>
      <c r="I133" s="908">
        <f t="shared" si="63"/>
        <v>0</v>
      </c>
      <c r="J133" s="908">
        <f t="shared" si="63"/>
        <v>0</v>
      </c>
      <c r="K133" s="908">
        <f t="shared" si="63"/>
        <v>0</v>
      </c>
      <c r="L133" s="908">
        <f t="shared" si="63"/>
        <v>0</v>
      </c>
      <c r="M133" s="908">
        <f t="shared" si="63"/>
        <v>0</v>
      </c>
      <c r="N133" s="908">
        <f t="shared" si="63"/>
        <v>0</v>
      </c>
      <c r="O133" s="908">
        <f t="shared" si="63"/>
        <v>0</v>
      </c>
      <c r="P133" s="908">
        <f t="shared" si="63"/>
        <v>0</v>
      </c>
      <c r="Q133" s="908">
        <f t="shared" si="63"/>
        <v>0</v>
      </c>
      <c r="R133" s="908">
        <f t="shared" si="63"/>
        <v>0</v>
      </c>
    </row>
    <row r="134" spans="3:19" x14ac:dyDescent="0.2">
      <c r="G134" s="907" t="s">
        <v>337</v>
      </c>
      <c r="H134" s="908">
        <f t="shared" ref="H134:R134" si="64">H46</f>
        <v>0</v>
      </c>
      <c r="I134" s="908">
        <f t="shared" si="64"/>
        <v>284.53600000000006</v>
      </c>
      <c r="J134" s="908">
        <f t="shared" si="64"/>
        <v>-189.44700000000012</v>
      </c>
      <c r="K134" s="908">
        <f t="shared" si="64"/>
        <v>-177.79899999999998</v>
      </c>
      <c r="L134" s="908">
        <f t="shared" si="64"/>
        <v>12.088000000000648</v>
      </c>
      <c r="M134" s="908">
        <f t="shared" si="64"/>
        <v>-54</v>
      </c>
      <c r="N134" s="908">
        <f t="shared" si="64"/>
        <v>0</v>
      </c>
      <c r="O134" s="908">
        <f t="shared" si="64"/>
        <v>0</v>
      </c>
      <c r="P134" s="908">
        <f t="shared" si="64"/>
        <v>0</v>
      </c>
      <c r="Q134" s="908">
        <f t="shared" si="64"/>
        <v>0</v>
      </c>
      <c r="R134" s="908">
        <f t="shared" si="64"/>
        <v>0</v>
      </c>
    </row>
    <row r="135" spans="3:19" x14ac:dyDescent="0.2">
      <c r="G135" s="907" t="s">
        <v>338</v>
      </c>
      <c r="H135" s="908">
        <f t="shared" ref="H135:R135" si="65">H51</f>
        <v>0</v>
      </c>
      <c r="I135" s="908">
        <f t="shared" si="65"/>
        <v>284.72400000000005</v>
      </c>
      <c r="J135" s="908">
        <f t="shared" si="65"/>
        <v>-189.44700000000012</v>
      </c>
      <c r="K135" s="908">
        <f t="shared" si="65"/>
        <v>-177.79899999999998</v>
      </c>
      <c r="L135" s="908">
        <f t="shared" si="65"/>
        <v>12.987000000000648</v>
      </c>
      <c r="M135" s="908">
        <f t="shared" si="65"/>
        <v>-53</v>
      </c>
      <c r="N135" s="908">
        <f t="shared" si="65"/>
        <v>0</v>
      </c>
      <c r="O135" s="908">
        <f t="shared" si="65"/>
        <v>0</v>
      </c>
      <c r="P135" s="908">
        <f t="shared" si="65"/>
        <v>0</v>
      </c>
      <c r="Q135" s="908">
        <f t="shared" si="65"/>
        <v>0</v>
      </c>
      <c r="R135" s="908">
        <f t="shared" si="65"/>
        <v>0</v>
      </c>
    </row>
    <row r="136" spans="3:19" x14ac:dyDescent="0.2">
      <c r="G136" s="907" t="s">
        <v>339</v>
      </c>
      <c r="H136" s="908">
        <f t="shared" ref="H136:R137" si="66">H4</f>
        <v>0</v>
      </c>
      <c r="I136" s="908">
        <f t="shared" si="66"/>
        <v>3620.4450000000002</v>
      </c>
      <c r="J136" s="908">
        <f t="shared" si="66"/>
        <v>3460.8960000000002</v>
      </c>
      <c r="K136" s="908">
        <f t="shared" si="66"/>
        <v>3280.172</v>
      </c>
      <c r="L136" s="908">
        <f t="shared" si="66"/>
        <v>3553.0310000000004</v>
      </c>
      <c r="M136" s="908">
        <f t="shared" si="66"/>
        <v>3550</v>
      </c>
      <c r="N136" s="908">
        <f t="shared" si="66"/>
        <v>5323</v>
      </c>
      <c r="O136" s="908">
        <f t="shared" si="66"/>
        <v>5423</v>
      </c>
      <c r="P136" s="908">
        <f t="shared" si="66"/>
        <v>4654</v>
      </c>
      <c r="Q136" s="908">
        <f t="shared" si="66"/>
        <v>4331</v>
      </c>
      <c r="R136" s="908">
        <f t="shared" si="66"/>
        <v>3991</v>
      </c>
    </row>
    <row r="137" spans="3:19" x14ac:dyDescent="0.2">
      <c r="G137" s="907" t="s">
        <v>340</v>
      </c>
      <c r="H137" s="908">
        <f t="shared" si="66"/>
        <v>0</v>
      </c>
      <c r="I137" s="908">
        <f t="shared" si="66"/>
        <v>313.976</v>
      </c>
      <c r="J137" s="908">
        <f t="shared" si="66"/>
        <v>282.57799999999997</v>
      </c>
      <c r="K137" s="908">
        <f t="shared" si="66"/>
        <v>206.58200000000002</v>
      </c>
      <c r="L137" s="908">
        <f t="shared" si="66"/>
        <v>612.45799999999997</v>
      </c>
      <c r="M137" s="908">
        <f t="shared" si="66"/>
        <v>756</v>
      </c>
      <c r="N137" s="908">
        <f t="shared" si="66"/>
        <v>222</v>
      </c>
      <c r="O137" s="908">
        <f t="shared" si="66"/>
        <v>645</v>
      </c>
      <c r="P137" s="908">
        <f t="shared" si="66"/>
        <v>189</v>
      </c>
      <c r="Q137" s="908">
        <f t="shared" si="66"/>
        <v>179</v>
      </c>
      <c r="R137" s="908">
        <f t="shared" si="66"/>
        <v>152</v>
      </c>
    </row>
    <row r="138" spans="3:19" x14ac:dyDescent="0.2">
      <c r="G138" s="907" t="s">
        <v>341</v>
      </c>
      <c r="H138" s="908">
        <f t="shared" ref="H138:R138" si="67">H10</f>
        <v>0</v>
      </c>
      <c r="I138" s="908">
        <f t="shared" si="67"/>
        <v>3306.4690000000001</v>
      </c>
      <c r="J138" s="908">
        <f t="shared" si="67"/>
        <v>3178.3180000000002</v>
      </c>
      <c r="K138" s="908">
        <f t="shared" si="67"/>
        <v>3073.59</v>
      </c>
      <c r="L138" s="908">
        <f t="shared" si="67"/>
        <v>2940.5730000000003</v>
      </c>
      <c r="M138" s="908">
        <f t="shared" si="67"/>
        <v>2794</v>
      </c>
      <c r="N138" s="908">
        <f t="shared" si="67"/>
        <v>5101</v>
      </c>
      <c r="O138" s="908">
        <f t="shared" si="67"/>
        <v>4778</v>
      </c>
      <c r="P138" s="908">
        <f t="shared" si="67"/>
        <v>4465</v>
      </c>
      <c r="Q138" s="908">
        <f t="shared" si="67"/>
        <v>4152</v>
      </c>
      <c r="R138" s="908">
        <f t="shared" si="67"/>
        <v>3839</v>
      </c>
    </row>
    <row r="139" spans="3:19" x14ac:dyDescent="0.2">
      <c r="G139" s="907" t="s">
        <v>342</v>
      </c>
      <c r="H139" s="908">
        <f t="shared" ref="H139:R140" si="68">H19</f>
        <v>0</v>
      </c>
      <c r="I139" s="908">
        <f t="shared" si="68"/>
        <v>253.05600000000001</v>
      </c>
      <c r="J139" s="908">
        <f t="shared" si="68"/>
        <v>282.95599999999996</v>
      </c>
      <c r="K139" s="908">
        <f t="shared" si="68"/>
        <v>280.03000000000003</v>
      </c>
      <c r="L139" s="908">
        <f t="shared" si="68"/>
        <v>539.90300000000002</v>
      </c>
      <c r="M139" s="908">
        <f t="shared" si="68"/>
        <v>590</v>
      </c>
      <c r="N139" s="908">
        <f t="shared" si="68"/>
        <v>2363</v>
      </c>
      <c r="O139" s="908">
        <f t="shared" si="68"/>
        <v>2463</v>
      </c>
      <c r="P139" s="908">
        <f t="shared" si="68"/>
        <v>1694</v>
      </c>
      <c r="Q139" s="908">
        <f t="shared" si="68"/>
        <v>1371</v>
      </c>
      <c r="R139" s="908">
        <f t="shared" si="68"/>
        <v>1031</v>
      </c>
    </row>
    <row r="140" spans="3:19" x14ac:dyDescent="0.2">
      <c r="G140" s="907" t="s">
        <v>343</v>
      </c>
      <c r="H140" s="908">
        <f t="shared" si="68"/>
        <v>0</v>
      </c>
      <c r="I140" s="908">
        <f t="shared" si="68"/>
        <v>253.05600000000001</v>
      </c>
      <c r="J140" s="908">
        <f t="shared" si="68"/>
        <v>282.95599999999996</v>
      </c>
      <c r="K140" s="908">
        <f t="shared" si="68"/>
        <v>280.03000000000003</v>
      </c>
      <c r="L140" s="908">
        <f t="shared" si="68"/>
        <v>539.90300000000002</v>
      </c>
      <c r="M140" s="908">
        <f t="shared" si="68"/>
        <v>590</v>
      </c>
      <c r="N140" s="908">
        <f t="shared" si="68"/>
        <v>963</v>
      </c>
      <c r="O140" s="908">
        <f t="shared" si="68"/>
        <v>600</v>
      </c>
      <c r="P140" s="908">
        <f t="shared" si="68"/>
        <v>1694</v>
      </c>
      <c r="Q140" s="908">
        <f t="shared" si="68"/>
        <v>1371</v>
      </c>
      <c r="R140" s="908">
        <f t="shared" si="68"/>
        <v>1553</v>
      </c>
    </row>
    <row r="141" spans="3:19" x14ac:dyDescent="0.2">
      <c r="G141" s="907" t="s">
        <v>344</v>
      </c>
      <c r="H141" s="908">
        <f t="shared" ref="H141:R141" si="69">H24</f>
        <v>0</v>
      </c>
      <c r="I141" s="908">
        <f t="shared" si="69"/>
        <v>0</v>
      </c>
      <c r="J141" s="908">
        <f t="shared" si="69"/>
        <v>0</v>
      </c>
      <c r="K141" s="908">
        <f t="shared" si="69"/>
        <v>0</v>
      </c>
      <c r="L141" s="908">
        <f t="shared" si="69"/>
        <v>0</v>
      </c>
      <c r="M141" s="908">
        <f t="shared" si="69"/>
        <v>0</v>
      </c>
      <c r="N141" s="908">
        <f t="shared" si="69"/>
        <v>0</v>
      </c>
      <c r="O141" s="908">
        <f t="shared" si="69"/>
        <v>0</v>
      </c>
      <c r="P141" s="908">
        <f t="shared" si="69"/>
        <v>0</v>
      </c>
      <c r="Q141" s="908">
        <f t="shared" si="69"/>
        <v>0</v>
      </c>
      <c r="R141" s="908">
        <f t="shared" si="69"/>
        <v>0</v>
      </c>
    </row>
    <row r="142" spans="3:19" x14ac:dyDescent="0.2">
      <c r="G142" s="907" t="s">
        <v>345</v>
      </c>
      <c r="H142" s="908">
        <f t="shared" ref="H142:R142" si="70">H27</f>
        <v>0</v>
      </c>
      <c r="I142" s="908">
        <f t="shared" si="70"/>
        <v>3367.3879999999999</v>
      </c>
      <c r="J142" s="908">
        <f t="shared" si="70"/>
        <v>3177.9409999999998</v>
      </c>
      <c r="K142" s="908">
        <f t="shared" si="70"/>
        <v>3000.1409999999996</v>
      </c>
      <c r="L142" s="908">
        <f t="shared" si="70"/>
        <v>3013.1289999999995</v>
      </c>
      <c r="M142" s="908">
        <f t="shared" si="70"/>
        <v>2960</v>
      </c>
      <c r="N142" s="908">
        <f t="shared" si="70"/>
        <v>2960</v>
      </c>
      <c r="O142" s="908">
        <f t="shared" si="70"/>
        <v>2960</v>
      </c>
      <c r="P142" s="908">
        <f t="shared" si="70"/>
        <v>2960</v>
      </c>
      <c r="Q142" s="908">
        <f t="shared" si="70"/>
        <v>2960</v>
      </c>
      <c r="R142" s="908">
        <f t="shared" si="70"/>
        <v>2960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043" priority="51" stopIfTrue="1" operator="greaterThan">
      <formula>$E$116</formula>
    </cfRule>
    <cfRule type="cellIs" dxfId="1042" priority="52" stopIfTrue="1" operator="lessThanOrEqual">
      <formula>$E$116</formula>
    </cfRule>
  </conditionalFormatting>
  <conditionalFormatting sqref="H118:Q118">
    <cfRule type="cellIs" dxfId="1041" priority="49" stopIfTrue="1" operator="lessThanOrEqual">
      <formula>$E$118</formula>
    </cfRule>
    <cfRule type="cellIs" dxfId="1040" priority="50" stopIfTrue="1" operator="greaterThan">
      <formula>$E$118</formula>
    </cfRule>
  </conditionalFormatting>
  <conditionalFormatting sqref="H99:Q99">
    <cfRule type="cellIs" dxfId="1039" priority="47" operator="greaterThan">
      <formula>$E$99</formula>
    </cfRule>
    <cfRule type="cellIs" dxfId="1038" priority="48" operator="lessThanOrEqual">
      <formula>$E$99</formula>
    </cfRule>
  </conditionalFormatting>
  <conditionalFormatting sqref="H102:Q102">
    <cfRule type="cellIs" dxfId="1037" priority="45" stopIfTrue="1" operator="greaterThanOrEqual">
      <formula>$E$102</formula>
    </cfRule>
    <cfRule type="cellIs" dxfId="1036" priority="46" stopIfTrue="1" operator="lessThan">
      <formula>$E$102</formula>
    </cfRule>
  </conditionalFormatting>
  <conditionalFormatting sqref="H104:Q104">
    <cfRule type="cellIs" dxfId="1035" priority="43" stopIfTrue="1" operator="lessThan">
      <formula>$E$104</formula>
    </cfRule>
    <cfRule type="cellIs" dxfId="1034" priority="44" stopIfTrue="1" operator="greaterThanOrEqual">
      <formula>$E$104</formula>
    </cfRule>
  </conditionalFormatting>
  <conditionalFormatting sqref="H103:Q103">
    <cfRule type="cellIs" dxfId="1033" priority="41" stopIfTrue="1" operator="greaterThan">
      <formula>$E$103</formula>
    </cfRule>
    <cfRule type="cellIs" dxfId="1032" priority="42" stopIfTrue="1" operator="lessThanOrEqual">
      <formula>$E$103</formula>
    </cfRule>
  </conditionalFormatting>
  <conditionalFormatting sqref="H117:Q117">
    <cfRule type="cellIs" dxfId="1031" priority="39" stopIfTrue="1" operator="greaterThan">
      <formula>$E$117</formula>
    </cfRule>
    <cfRule type="cellIs" dxfId="1030" priority="40" stopIfTrue="1" operator="lessThanOrEqual">
      <formula>$E$117</formula>
    </cfRule>
  </conditionalFormatting>
  <conditionalFormatting sqref="H107:Q107">
    <cfRule type="cellIs" dxfId="1029" priority="37" stopIfTrue="1" operator="greaterThan">
      <formula>$E$107</formula>
    </cfRule>
    <cfRule type="cellIs" dxfId="1028" priority="38" stopIfTrue="1" operator="lessThanOrEqual">
      <formula>$E$107</formula>
    </cfRule>
  </conditionalFormatting>
  <conditionalFormatting sqref="H108:Q108">
    <cfRule type="cellIs" dxfId="1027" priority="35" stopIfTrue="1" operator="lessThan">
      <formula>$E$108</formula>
    </cfRule>
    <cfRule type="cellIs" dxfId="1026" priority="36" stopIfTrue="1" operator="greaterThanOrEqual">
      <formula>$E$108</formula>
    </cfRule>
  </conditionalFormatting>
  <conditionalFormatting sqref="H93:Q93">
    <cfRule type="cellIs" dxfId="1025" priority="53" stopIfTrue="1" operator="lessThan">
      <formula>$D$93</formula>
    </cfRule>
    <cfRule type="cellIs" dxfId="1024" priority="54" stopIfTrue="1" operator="between">
      <formula>$D$93</formula>
      <formula>$E$93</formula>
    </cfRule>
    <cfRule type="cellIs" dxfId="1023" priority="55" stopIfTrue="1" operator="greaterThan">
      <formula>$E$93</formula>
    </cfRule>
  </conditionalFormatting>
  <conditionalFormatting sqref="H114:Q114">
    <cfRule type="cellIs" dxfId="1022" priority="56" stopIfTrue="1" operator="lessThan">
      <formula>$E$114</formula>
    </cfRule>
    <cfRule type="cellIs" dxfId="1021" priority="57" stopIfTrue="1" operator="between">
      <formula>$D$114</formula>
      <formula>$E$114</formula>
    </cfRule>
    <cfRule type="cellIs" dxfId="1020" priority="58" stopIfTrue="1" operator="greaterThanOrEqual">
      <formula>$D$114</formula>
    </cfRule>
  </conditionalFormatting>
  <conditionalFormatting sqref="H90:Q90">
    <cfRule type="cellIs" dxfId="1019" priority="33" stopIfTrue="1" operator="lessThan">
      <formula>$E$90</formula>
    </cfRule>
    <cfRule type="cellIs" dxfId="1018" priority="34" stopIfTrue="1" operator="greaterThan">
      <formula>$E$90</formula>
    </cfRule>
  </conditionalFormatting>
  <conditionalFormatting sqref="H100:Q100">
    <cfRule type="cellIs" dxfId="1017" priority="30" stopIfTrue="1" operator="between">
      <formula>$D$100</formula>
      <formula>$E$100</formula>
    </cfRule>
    <cfRule type="cellIs" dxfId="1016" priority="31" stopIfTrue="1" operator="lessThanOrEqual">
      <formula>$D$100</formula>
    </cfRule>
    <cfRule type="cellIs" dxfId="1015" priority="32" stopIfTrue="1" operator="greaterThan">
      <formula>$E$100</formula>
    </cfRule>
  </conditionalFormatting>
  <conditionalFormatting sqref="R116">
    <cfRule type="cellIs" dxfId="1014" priority="22" stopIfTrue="1" operator="greaterThan">
      <formula>$E$116</formula>
    </cfRule>
    <cfRule type="cellIs" dxfId="1013" priority="23" stopIfTrue="1" operator="lessThanOrEqual">
      <formula>$E$116</formula>
    </cfRule>
  </conditionalFormatting>
  <conditionalFormatting sqref="R118">
    <cfRule type="cellIs" dxfId="1012" priority="20" stopIfTrue="1" operator="lessThanOrEqual">
      <formula>$E$118</formula>
    </cfRule>
    <cfRule type="cellIs" dxfId="1011" priority="21" stopIfTrue="1" operator="greaterThan">
      <formula>$E$118</formula>
    </cfRule>
  </conditionalFormatting>
  <conditionalFormatting sqref="R99">
    <cfRule type="cellIs" dxfId="1010" priority="18" operator="greaterThan">
      <formula>$E$99</formula>
    </cfRule>
    <cfRule type="cellIs" dxfId="1009" priority="19" operator="lessThanOrEqual">
      <formula>$E$99</formula>
    </cfRule>
  </conditionalFormatting>
  <conditionalFormatting sqref="R102">
    <cfRule type="cellIs" dxfId="1008" priority="16" stopIfTrue="1" operator="greaterThanOrEqual">
      <formula>$E$102</formula>
    </cfRule>
    <cfRule type="cellIs" dxfId="1007" priority="17" stopIfTrue="1" operator="lessThan">
      <formula>$E$102</formula>
    </cfRule>
  </conditionalFormatting>
  <conditionalFormatting sqref="R104">
    <cfRule type="cellIs" dxfId="1006" priority="14" stopIfTrue="1" operator="lessThan">
      <formula>$E$104</formula>
    </cfRule>
    <cfRule type="cellIs" dxfId="1005" priority="15" stopIfTrue="1" operator="greaterThanOrEqual">
      <formula>$E$104</formula>
    </cfRule>
  </conditionalFormatting>
  <conditionalFormatting sqref="R103">
    <cfRule type="cellIs" dxfId="1004" priority="12" stopIfTrue="1" operator="greaterThan">
      <formula>$E$103</formula>
    </cfRule>
    <cfRule type="cellIs" dxfId="1003" priority="13" stopIfTrue="1" operator="lessThanOrEqual">
      <formula>$E$103</formula>
    </cfRule>
  </conditionalFormatting>
  <conditionalFormatting sqref="R117">
    <cfRule type="cellIs" dxfId="1002" priority="10" stopIfTrue="1" operator="greaterThan">
      <formula>$E$117</formula>
    </cfRule>
    <cfRule type="cellIs" dxfId="1001" priority="11" stopIfTrue="1" operator="lessThanOrEqual">
      <formula>$E$117</formula>
    </cfRule>
  </conditionalFormatting>
  <conditionalFormatting sqref="R107">
    <cfRule type="cellIs" dxfId="1000" priority="8" stopIfTrue="1" operator="greaterThan">
      <formula>$E$107</formula>
    </cfRule>
    <cfRule type="cellIs" dxfId="999" priority="9" stopIfTrue="1" operator="lessThanOrEqual">
      <formula>$E$107</formula>
    </cfRule>
  </conditionalFormatting>
  <conditionalFormatting sqref="R108">
    <cfRule type="cellIs" dxfId="998" priority="6" stopIfTrue="1" operator="lessThan">
      <formula>$E$108</formula>
    </cfRule>
    <cfRule type="cellIs" dxfId="997" priority="7" stopIfTrue="1" operator="greaterThanOrEqual">
      <formula>$E$108</formula>
    </cfRule>
  </conditionalFormatting>
  <conditionalFormatting sqref="R93">
    <cfRule type="cellIs" dxfId="996" priority="24" stopIfTrue="1" operator="lessThan">
      <formula>$D$93</formula>
    </cfRule>
    <cfRule type="cellIs" dxfId="995" priority="25" stopIfTrue="1" operator="between">
      <formula>$D$93</formula>
      <formula>$E$93</formula>
    </cfRule>
    <cfRule type="cellIs" dxfId="994" priority="26" stopIfTrue="1" operator="greaterThan">
      <formula>$E$93</formula>
    </cfRule>
  </conditionalFormatting>
  <conditionalFormatting sqref="R114">
    <cfRule type="cellIs" dxfId="993" priority="27" stopIfTrue="1" operator="lessThan">
      <formula>$E$114</formula>
    </cfRule>
    <cfRule type="cellIs" dxfId="992" priority="28" stopIfTrue="1" operator="between">
      <formula>$D$114</formula>
      <formula>$E$114</formula>
    </cfRule>
    <cfRule type="cellIs" dxfId="991" priority="29" stopIfTrue="1" operator="greaterThanOrEqual">
      <formula>$D$114</formula>
    </cfRule>
  </conditionalFormatting>
  <conditionalFormatting sqref="R90">
    <cfRule type="cellIs" dxfId="990" priority="4" stopIfTrue="1" operator="lessThan">
      <formula>$E$90</formula>
    </cfRule>
    <cfRule type="cellIs" dxfId="989" priority="5" stopIfTrue="1" operator="greaterThan">
      <formula>$E$90</formula>
    </cfRule>
  </conditionalFormatting>
  <conditionalFormatting sqref="R100">
    <cfRule type="cellIs" dxfId="988" priority="1" stopIfTrue="1" operator="between">
      <formula>$D$100</formula>
      <formula>$E$100</formula>
    </cfRule>
    <cfRule type="cellIs" dxfId="987" priority="2" stopIfTrue="1" operator="lessThanOrEqual">
      <formula>$D$100</formula>
    </cfRule>
    <cfRule type="cellIs" dxfId="986" priority="3" stopIfTrue="1" operator="greaterThan">
      <formula>$E$100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21.570312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21.570312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21.570312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21.570312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21.570312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21.570312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21.570312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21.570312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21.570312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21.570312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21.570312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21.570312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21.570312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21.570312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21.570312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21.570312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21.570312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21.570312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21.570312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21.570312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21.570312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21.570312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21.570312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21.570312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21.570312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21.570312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21.570312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21.570312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21.570312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21.570312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21.570312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21.570312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21.570312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21.570312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21.570312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21.570312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21.570312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21.570312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21.570312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21.570312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21.570312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21.570312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21.570312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21.570312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21.570312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21.570312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21.570312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21.570312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21.570312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21.570312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21.570312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21.570312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21.570312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21.570312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21.570312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21.570312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21.570312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21.570312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21.570312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21.570312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21.570312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21.570312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21.570312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21.570312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1044" t="s">
        <v>502</v>
      </c>
      <c r="H2" s="1045" t="s">
        <v>503</v>
      </c>
      <c r="I2" s="1046"/>
      <c r="J2" s="1046"/>
      <c r="K2" s="1253" t="s">
        <v>6</v>
      </c>
      <c r="L2" s="1254"/>
      <c r="M2" s="1255"/>
      <c r="N2" s="1256"/>
      <c r="O2" s="1256"/>
      <c r="P2" s="1256"/>
      <c r="Q2" s="1256"/>
      <c r="R2" s="1257"/>
    </row>
    <row r="3" spans="1:18" x14ac:dyDescent="0.2">
      <c r="A3" s="1"/>
      <c r="B3" s="10"/>
      <c r="C3" s="3"/>
      <c r="D3" s="3"/>
      <c r="E3" s="1"/>
      <c r="F3" s="1"/>
      <c r="G3" s="1047" t="s">
        <v>7</v>
      </c>
      <c r="H3" s="208">
        <v>40908</v>
      </c>
      <c r="I3" s="208">
        <v>41274</v>
      </c>
      <c r="J3" s="208">
        <v>41639</v>
      </c>
      <c r="K3" s="208">
        <v>42004</v>
      </c>
      <c r="L3" s="1048">
        <v>42369</v>
      </c>
      <c r="M3" s="1048">
        <v>42735</v>
      </c>
      <c r="N3" s="1048">
        <v>43100</v>
      </c>
      <c r="O3" s="1048">
        <v>43465</v>
      </c>
      <c r="P3" s="1048">
        <v>43830</v>
      </c>
      <c r="Q3" s="1048">
        <v>44196</v>
      </c>
      <c r="R3" s="1048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1049" t="s">
        <v>9</v>
      </c>
      <c r="H4" s="1050">
        <f t="shared" ref="H4:R4" si="0">H5+H10</f>
        <v>0</v>
      </c>
      <c r="I4" s="1050">
        <f t="shared" si="0"/>
        <v>0</v>
      </c>
      <c r="J4" s="1050">
        <f t="shared" si="0"/>
        <v>1220.9749999999999</v>
      </c>
      <c r="K4" s="1050">
        <f t="shared" si="0"/>
        <v>1170.0449999999998</v>
      </c>
      <c r="L4" s="1050">
        <f t="shared" si="0"/>
        <v>1276.0529999999999</v>
      </c>
      <c r="M4" s="1050">
        <f t="shared" si="0"/>
        <v>2316</v>
      </c>
      <c r="N4" s="1050">
        <f t="shared" si="0"/>
        <v>4477</v>
      </c>
      <c r="O4" s="1050">
        <f t="shared" si="0"/>
        <v>5167</v>
      </c>
      <c r="P4" s="1050">
        <f t="shared" si="0"/>
        <v>5650</v>
      </c>
      <c r="Q4" s="1050">
        <f t="shared" si="0"/>
        <v>5567</v>
      </c>
      <c r="R4" s="1050">
        <f t="shared" si="0"/>
        <v>5484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1050">
        <f t="shared" ref="H5:Q5" si="1">SUM(H6:H9)</f>
        <v>0</v>
      </c>
      <c r="I5" s="1050">
        <f t="shared" si="1"/>
        <v>0</v>
      </c>
      <c r="J5" s="1050">
        <f t="shared" si="1"/>
        <v>83.557000000000002</v>
      </c>
      <c r="K5" s="1050">
        <f t="shared" si="1"/>
        <v>32.548999999999999</v>
      </c>
      <c r="L5" s="1050">
        <f t="shared" si="1"/>
        <v>69.62</v>
      </c>
      <c r="M5" s="1050">
        <f t="shared" si="1"/>
        <v>186</v>
      </c>
      <c r="N5" s="1050">
        <f t="shared" si="1"/>
        <v>762</v>
      </c>
      <c r="O5" s="1050">
        <f t="shared" si="1"/>
        <v>598</v>
      </c>
      <c r="P5" s="1050">
        <f t="shared" si="1"/>
        <v>327</v>
      </c>
      <c r="Q5" s="1050">
        <f t="shared" si="1"/>
        <v>219</v>
      </c>
      <c r="R5" s="1050">
        <f>SUM(R6:R9)</f>
        <v>147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1051">
        <v>0</v>
      </c>
      <c r="I6" s="1051">
        <v>0</v>
      </c>
      <c r="J6" s="1051">
        <v>41.767000000000003</v>
      </c>
      <c r="K6" s="1051">
        <v>7.2930000000000001</v>
      </c>
      <c r="L6" s="1051">
        <v>36.427</v>
      </c>
      <c r="M6" s="1051">
        <v>179</v>
      </c>
      <c r="N6" s="1051">
        <v>677</v>
      </c>
      <c r="O6" s="1051">
        <v>548</v>
      </c>
      <c r="P6" s="1051">
        <v>292</v>
      </c>
      <c r="Q6" s="1051">
        <v>184</v>
      </c>
      <c r="R6" s="1051">
        <v>117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1051">
        <v>0</v>
      </c>
      <c r="I7" s="1051">
        <v>0</v>
      </c>
      <c r="J7" s="1051">
        <v>33.57</v>
      </c>
      <c r="K7" s="1051">
        <v>20.48</v>
      </c>
      <c r="L7" s="1051">
        <v>23.193000000000001</v>
      </c>
      <c r="M7" s="1051">
        <v>7</v>
      </c>
      <c r="N7" s="1051">
        <v>85</v>
      </c>
      <c r="O7" s="1051">
        <v>50</v>
      </c>
      <c r="P7" s="1051">
        <v>35</v>
      </c>
      <c r="Q7" s="1051">
        <v>35</v>
      </c>
      <c r="R7" s="1051">
        <v>30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1051">
        <v>0</v>
      </c>
      <c r="I8" s="1051">
        <v>0</v>
      </c>
      <c r="J8" s="1051">
        <v>0</v>
      </c>
      <c r="K8" s="1051">
        <v>0</v>
      </c>
      <c r="L8" s="1051">
        <v>0</v>
      </c>
      <c r="M8" s="1051">
        <v>0</v>
      </c>
      <c r="N8" s="1051">
        <v>0</v>
      </c>
      <c r="O8" s="1051">
        <v>0</v>
      </c>
      <c r="P8" s="1051">
        <v>0</v>
      </c>
      <c r="Q8" s="1051">
        <v>0</v>
      </c>
      <c r="R8" s="1051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1051">
        <v>0</v>
      </c>
      <c r="I9" s="1051">
        <v>0</v>
      </c>
      <c r="J9" s="1051">
        <v>8.2200000000000006</v>
      </c>
      <c r="K9" s="1051">
        <v>4.7759999999999998</v>
      </c>
      <c r="L9" s="1051">
        <v>10</v>
      </c>
      <c r="M9" s="1051">
        <v>0</v>
      </c>
      <c r="N9" s="1051">
        <v>0</v>
      </c>
      <c r="O9" s="1051">
        <v>0</v>
      </c>
      <c r="P9" s="1051">
        <v>0</v>
      </c>
      <c r="Q9" s="1051">
        <v>0</v>
      </c>
      <c r="R9" s="1051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1050">
        <f>SUM(H11:H16)</f>
        <v>0</v>
      </c>
      <c r="I10" s="1050">
        <f t="shared" ref="I10:R10" si="2">SUM(I11:I16)</f>
        <v>0</v>
      </c>
      <c r="J10" s="1050">
        <f t="shared" si="2"/>
        <v>1137.4179999999999</v>
      </c>
      <c r="K10" s="1050">
        <f t="shared" si="2"/>
        <v>1137.4959999999999</v>
      </c>
      <c r="L10" s="1050">
        <f t="shared" si="2"/>
        <v>1206.433</v>
      </c>
      <c r="M10" s="1050">
        <f t="shared" si="2"/>
        <v>2130</v>
      </c>
      <c r="N10" s="1050">
        <f t="shared" si="2"/>
        <v>3715</v>
      </c>
      <c r="O10" s="1050">
        <f t="shared" si="2"/>
        <v>4569</v>
      </c>
      <c r="P10" s="1050">
        <f t="shared" si="2"/>
        <v>5323</v>
      </c>
      <c r="Q10" s="1050">
        <f t="shared" si="2"/>
        <v>5348</v>
      </c>
      <c r="R10" s="1050">
        <f t="shared" si="2"/>
        <v>5337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1051">
        <v>0</v>
      </c>
      <c r="I11" s="1051">
        <v>0</v>
      </c>
      <c r="J11" s="1051">
        <v>0</v>
      </c>
      <c r="K11" s="1051">
        <v>0</v>
      </c>
      <c r="L11" s="1051">
        <v>0</v>
      </c>
      <c r="M11" s="1051">
        <v>0</v>
      </c>
      <c r="N11" s="1051">
        <v>0</v>
      </c>
      <c r="O11" s="1051">
        <v>0</v>
      </c>
      <c r="P11" s="1051">
        <v>0</v>
      </c>
      <c r="Q11" s="1051">
        <v>0</v>
      </c>
      <c r="R11" s="1051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1051">
        <v>0</v>
      </c>
      <c r="I12" s="1051">
        <v>0</v>
      </c>
      <c r="J12" s="1051">
        <v>0</v>
      </c>
      <c r="K12" s="1051">
        <v>0</v>
      </c>
      <c r="L12" s="1051">
        <v>0</v>
      </c>
      <c r="M12" s="1051">
        <v>0</v>
      </c>
      <c r="N12" s="1051">
        <v>0</v>
      </c>
      <c r="O12" s="1051">
        <v>0</v>
      </c>
      <c r="P12" s="1051">
        <v>0</v>
      </c>
      <c r="Q12" s="1051">
        <v>0</v>
      </c>
      <c r="R12" s="1051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1051">
        <v>0</v>
      </c>
      <c r="I13" s="1051">
        <v>0</v>
      </c>
      <c r="J13" s="1051">
        <v>0</v>
      </c>
      <c r="K13" s="1051">
        <v>2.1</v>
      </c>
      <c r="L13" s="1051">
        <v>0</v>
      </c>
      <c r="M13" s="1051">
        <v>0</v>
      </c>
      <c r="N13" s="1051">
        <v>0</v>
      </c>
      <c r="O13" s="1051">
        <v>0</v>
      </c>
      <c r="P13" s="1051">
        <v>0</v>
      </c>
      <c r="Q13" s="1051">
        <v>0</v>
      </c>
      <c r="R13" s="1051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1051">
        <v>0</v>
      </c>
      <c r="I14" s="1051">
        <v>0</v>
      </c>
      <c r="J14" s="1051">
        <v>0</v>
      </c>
      <c r="K14" s="1051">
        <v>0</v>
      </c>
      <c r="L14" s="1051">
        <v>0</v>
      </c>
      <c r="M14" s="1051">
        <v>0</v>
      </c>
      <c r="N14" s="1051">
        <v>0</v>
      </c>
      <c r="O14" s="1051">
        <v>0</v>
      </c>
      <c r="P14" s="1051">
        <v>0</v>
      </c>
      <c r="Q14" s="1051">
        <v>0</v>
      </c>
      <c r="R14" s="1051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1051">
        <v>0</v>
      </c>
      <c r="I15" s="1051">
        <v>0</v>
      </c>
      <c r="J15" s="1051">
        <v>1137.4179999999999</v>
      </c>
      <c r="K15" s="1051">
        <v>1135.396</v>
      </c>
      <c r="L15" s="1051">
        <v>1206.433</v>
      </c>
      <c r="M15" s="1052">
        <v>2130</v>
      </c>
      <c r="N15" s="1052">
        <v>3715</v>
      </c>
      <c r="O15" s="1052">
        <v>4569</v>
      </c>
      <c r="P15" s="1052">
        <v>5323</v>
      </c>
      <c r="Q15" s="1052">
        <v>5348</v>
      </c>
      <c r="R15" s="1052">
        <v>5337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1051">
        <v>0</v>
      </c>
      <c r="I16" s="1051">
        <v>0</v>
      </c>
      <c r="J16" s="1051">
        <v>0</v>
      </c>
      <c r="K16" s="1051">
        <v>0</v>
      </c>
      <c r="L16" s="1051">
        <v>0</v>
      </c>
      <c r="M16" s="1051">
        <v>0</v>
      </c>
      <c r="N16" s="1051">
        <v>0</v>
      </c>
      <c r="O16" s="1051">
        <v>0</v>
      </c>
      <c r="P16" s="1051">
        <v>0</v>
      </c>
      <c r="Q16" s="1051">
        <v>0</v>
      </c>
      <c r="R16" s="1051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1053">
        <v>0</v>
      </c>
      <c r="I17" s="1053">
        <v>0</v>
      </c>
      <c r="J17" s="1053">
        <v>0</v>
      </c>
      <c r="K17" s="1053">
        <v>0</v>
      </c>
      <c r="L17" s="1053">
        <v>0</v>
      </c>
      <c r="M17" s="1053">
        <v>0</v>
      </c>
      <c r="N17" s="1053">
        <v>0</v>
      </c>
      <c r="O17" s="1053">
        <v>0</v>
      </c>
      <c r="P17" s="1053">
        <v>0</v>
      </c>
      <c r="Q17" s="1053">
        <v>0</v>
      </c>
      <c r="R17" s="1053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1050">
        <f>H19+H27</f>
        <v>0</v>
      </c>
      <c r="I18" s="1050">
        <f t="shared" ref="I18:R18" si="3">I19+I27</f>
        <v>0</v>
      </c>
      <c r="J18" s="1050">
        <f t="shared" si="3"/>
        <v>1220.9760000000001</v>
      </c>
      <c r="K18" s="1050">
        <f t="shared" si="3"/>
        <v>1170.046</v>
      </c>
      <c r="L18" s="1050">
        <f t="shared" si="3"/>
        <v>1276.03</v>
      </c>
      <c r="M18" s="1050">
        <f t="shared" si="3"/>
        <v>2316</v>
      </c>
      <c r="N18" s="1050">
        <f t="shared" si="3"/>
        <v>4477</v>
      </c>
      <c r="O18" s="1050">
        <f t="shared" si="3"/>
        <v>5167</v>
      </c>
      <c r="P18" s="1050">
        <f t="shared" si="3"/>
        <v>5650</v>
      </c>
      <c r="Q18" s="1050">
        <f t="shared" si="3"/>
        <v>5567</v>
      </c>
      <c r="R18" s="1050">
        <f t="shared" si="3"/>
        <v>5484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1050">
        <f>SUM(H21:H26)</f>
        <v>0</v>
      </c>
      <c r="I19" s="1050">
        <f t="shared" ref="I19:R19" si="4">SUM(I21:I26)</f>
        <v>0</v>
      </c>
      <c r="J19" s="1050">
        <f t="shared" si="4"/>
        <v>46.401000000000003</v>
      </c>
      <c r="K19" s="1050">
        <f t="shared" si="4"/>
        <v>50.357999999999997</v>
      </c>
      <c r="L19" s="1050">
        <f t="shared" si="4"/>
        <v>147.5</v>
      </c>
      <c r="M19" s="1050">
        <f t="shared" si="4"/>
        <v>258</v>
      </c>
      <c r="N19" s="1050">
        <f t="shared" si="4"/>
        <v>41</v>
      </c>
      <c r="O19" s="1050">
        <f t="shared" si="4"/>
        <v>38</v>
      </c>
      <c r="P19" s="1050">
        <f t="shared" si="4"/>
        <v>35</v>
      </c>
      <c r="Q19" s="1050">
        <f t="shared" si="4"/>
        <v>35</v>
      </c>
      <c r="R19" s="1050">
        <f t="shared" si="4"/>
        <v>35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1054">
        <v>0</v>
      </c>
      <c r="I20" s="1054">
        <v>0</v>
      </c>
      <c r="J20" s="1054">
        <v>46.401000000000003</v>
      </c>
      <c r="K20" s="1054">
        <v>50.357999999999997</v>
      </c>
      <c r="L20" s="1054">
        <v>124.113</v>
      </c>
      <c r="M20" s="1054">
        <v>0</v>
      </c>
      <c r="N20" s="1054">
        <v>0</v>
      </c>
      <c r="O20" s="1054">
        <v>0</v>
      </c>
      <c r="P20" s="1054">
        <v>0</v>
      </c>
      <c r="Q20" s="1054">
        <v>0</v>
      </c>
      <c r="R20" s="1054">
        <v>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1051">
        <v>0</v>
      </c>
      <c r="I21" s="1051">
        <v>0</v>
      </c>
      <c r="J21" s="1051">
        <v>46.401000000000003</v>
      </c>
      <c r="K21" s="1051">
        <v>50.357999999999997</v>
      </c>
      <c r="L21" s="1051">
        <v>131</v>
      </c>
      <c r="M21" s="1051">
        <v>245</v>
      </c>
      <c r="N21" s="1051">
        <v>34</v>
      </c>
      <c r="O21" s="1051">
        <v>35</v>
      </c>
      <c r="P21" s="1051">
        <v>35</v>
      </c>
      <c r="Q21" s="1051">
        <v>35</v>
      </c>
      <c r="R21" s="1051">
        <v>35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1051">
        <v>0</v>
      </c>
      <c r="I22" s="1051">
        <v>0</v>
      </c>
      <c r="J22" s="1051">
        <v>0</v>
      </c>
      <c r="K22" s="1051">
        <v>0</v>
      </c>
      <c r="L22" s="1051">
        <v>0</v>
      </c>
      <c r="M22" s="1051">
        <v>0</v>
      </c>
      <c r="N22" s="1051">
        <v>0</v>
      </c>
      <c r="O22" s="1051">
        <v>0</v>
      </c>
      <c r="P22" s="1051">
        <v>0</v>
      </c>
      <c r="Q22" s="1051">
        <v>0</v>
      </c>
      <c r="R22" s="1051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1051">
        <v>0</v>
      </c>
      <c r="I23" s="1051">
        <v>0</v>
      </c>
      <c r="J23" s="1051">
        <v>0</v>
      </c>
      <c r="K23" s="1051">
        <v>0</v>
      </c>
      <c r="L23" s="1051">
        <v>0</v>
      </c>
      <c r="M23" s="1051">
        <v>0</v>
      </c>
      <c r="N23" s="1051">
        <v>0</v>
      </c>
      <c r="O23" s="1051">
        <v>0</v>
      </c>
      <c r="P23" s="1051">
        <v>0</v>
      </c>
      <c r="Q23" s="1051">
        <v>0</v>
      </c>
      <c r="R23" s="1051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1051">
        <v>0</v>
      </c>
      <c r="I24" s="1051">
        <v>0</v>
      </c>
      <c r="J24" s="1051">
        <v>0</v>
      </c>
      <c r="K24" s="1051">
        <v>0</v>
      </c>
      <c r="L24" s="1051">
        <f>3.089+13.411</f>
        <v>16.5</v>
      </c>
      <c r="M24" s="1051">
        <v>13</v>
      </c>
      <c r="N24" s="1051">
        <v>7</v>
      </c>
      <c r="O24" s="1051">
        <v>3</v>
      </c>
      <c r="P24" s="1051">
        <v>0</v>
      </c>
      <c r="Q24" s="1051">
        <v>0</v>
      </c>
      <c r="R24" s="1051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1051">
        <v>0</v>
      </c>
      <c r="I25" s="1051">
        <v>0</v>
      </c>
      <c r="J25" s="1051">
        <v>0</v>
      </c>
      <c r="K25" s="1051">
        <v>0</v>
      </c>
      <c r="L25" s="1051">
        <v>0</v>
      </c>
      <c r="M25" s="1051">
        <v>0</v>
      </c>
      <c r="N25" s="1051">
        <v>0</v>
      </c>
      <c r="O25" s="1051">
        <v>0</v>
      </c>
      <c r="P25" s="1051">
        <v>0</v>
      </c>
      <c r="Q25" s="1051">
        <v>0</v>
      </c>
      <c r="R25" s="1051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1051">
        <v>0</v>
      </c>
      <c r="I26" s="1051">
        <v>0</v>
      </c>
      <c r="J26" s="1051">
        <v>0</v>
      </c>
      <c r="K26" s="1051">
        <v>0</v>
      </c>
      <c r="L26" s="1051">
        <v>0</v>
      </c>
      <c r="M26" s="1051">
        <v>0</v>
      </c>
      <c r="N26" s="1051">
        <v>0</v>
      </c>
      <c r="O26" s="1051">
        <v>0</v>
      </c>
      <c r="P26" s="1051">
        <v>0</v>
      </c>
      <c r="Q26" s="1051">
        <v>0</v>
      </c>
      <c r="R26" s="1051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1050">
        <f>SUM(H28:H30)</f>
        <v>0</v>
      </c>
      <c r="I27" s="1050">
        <f t="shared" ref="I27:R27" si="5">SUM(I28:I30)</f>
        <v>0</v>
      </c>
      <c r="J27" s="1050">
        <f t="shared" si="5"/>
        <v>1174.575</v>
      </c>
      <c r="K27" s="1050">
        <f t="shared" si="5"/>
        <v>1119.6880000000001</v>
      </c>
      <c r="L27" s="1050">
        <f t="shared" si="5"/>
        <v>1128.53</v>
      </c>
      <c r="M27" s="1050">
        <f t="shared" si="5"/>
        <v>2058</v>
      </c>
      <c r="N27" s="1050">
        <f t="shared" si="5"/>
        <v>4436</v>
      </c>
      <c r="O27" s="1050">
        <f t="shared" si="5"/>
        <v>5129</v>
      </c>
      <c r="P27" s="1050">
        <f t="shared" si="5"/>
        <v>5615</v>
      </c>
      <c r="Q27" s="1050">
        <f t="shared" si="5"/>
        <v>5532</v>
      </c>
      <c r="R27" s="1050">
        <f t="shared" si="5"/>
        <v>5449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1051">
        <v>0</v>
      </c>
      <c r="I28" s="1051">
        <v>0</v>
      </c>
      <c r="J28" s="1051">
        <v>1064.598</v>
      </c>
      <c r="K28" s="1051">
        <v>1064.598</v>
      </c>
      <c r="L28" s="1051">
        <v>1064.598</v>
      </c>
      <c r="M28" s="1051">
        <v>1065</v>
      </c>
      <c r="N28" s="1051">
        <v>1065</v>
      </c>
      <c r="O28" s="1051">
        <v>1065</v>
      </c>
      <c r="P28" s="1051">
        <v>1065</v>
      </c>
      <c r="Q28" s="1051">
        <v>1065</v>
      </c>
      <c r="R28" s="1051">
        <v>1065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1051">
        <v>0</v>
      </c>
      <c r="I29" s="1051">
        <v>0</v>
      </c>
      <c r="J29" s="1051">
        <v>0</v>
      </c>
      <c r="K29" s="1051">
        <f>J29+J30</f>
        <v>109.977</v>
      </c>
      <c r="L29" s="1051">
        <f>K29+K30</f>
        <v>55.09</v>
      </c>
      <c r="M29" s="1051">
        <v>64</v>
      </c>
      <c r="N29" s="1051">
        <f>M29+M30</f>
        <v>993</v>
      </c>
      <c r="O29" s="1051">
        <f>N29+N30</f>
        <v>3371</v>
      </c>
      <c r="P29" s="1051">
        <f>O29+O30</f>
        <v>4064</v>
      </c>
      <c r="Q29" s="1051">
        <f>P29+P30</f>
        <v>4550</v>
      </c>
      <c r="R29" s="1051">
        <f>Q29+Q30</f>
        <v>4467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1051">
        <v>0</v>
      </c>
      <c r="I30" s="1051">
        <v>0</v>
      </c>
      <c r="J30" s="1051">
        <v>109.977</v>
      </c>
      <c r="K30" s="1051">
        <v>-54.887</v>
      </c>
      <c r="L30" s="1051">
        <v>8.8420000000000005</v>
      </c>
      <c r="M30" s="1051">
        <v>929</v>
      </c>
      <c r="N30" s="1052">
        <v>2378</v>
      </c>
      <c r="O30" s="1052">
        <v>693</v>
      </c>
      <c r="P30" s="1052">
        <v>486</v>
      </c>
      <c r="Q30" s="1052">
        <v>-83</v>
      </c>
      <c r="R30" s="1052">
        <v>-83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1055">
        <f t="shared" ref="H31:R31" si="6">H4-H18</f>
        <v>0</v>
      </c>
      <c r="I31" s="1055">
        <f t="shared" si="6"/>
        <v>0</v>
      </c>
      <c r="J31" s="1055">
        <f t="shared" si="6"/>
        <v>-1.0000000002037268E-3</v>
      </c>
      <c r="K31" s="1055">
        <f t="shared" si="6"/>
        <v>-1.0000000002037268E-3</v>
      </c>
      <c r="L31" s="1055">
        <f t="shared" si="6"/>
        <v>2.299999999991087E-2</v>
      </c>
      <c r="M31" s="1055">
        <f t="shared" si="6"/>
        <v>0</v>
      </c>
      <c r="N31" s="1055">
        <f t="shared" si="6"/>
        <v>0</v>
      </c>
      <c r="O31" s="1055">
        <f t="shared" si="6"/>
        <v>0</v>
      </c>
      <c r="P31" s="1055">
        <f t="shared" si="6"/>
        <v>0</v>
      </c>
      <c r="Q31" s="1055">
        <f t="shared" si="6"/>
        <v>0</v>
      </c>
      <c r="R31" s="1055">
        <f t="shared" si="6"/>
        <v>0</v>
      </c>
      <c r="S31" s="4"/>
    </row>
    <row r="32" spans="1:19" x14ac:dyDescent="0.2">
      <c r="G32" s="1047" t="s">
        <v>78</v>
      </c>
      <c r="H32" s="1056">
        <v>2011</v>
      </c>
      <c r="I32" s="1056">
        <f t="shared" ref="I32:R32" si="7">H32+1</f>
        <v>2012</v>
      </c>
      <c r="J32" s="1056">
        <f t="shared" si="7"/>
        <v>2013</v>
      </c>
      <c r="K32" s="1056">
        <f t="shared" si="7"/>
        <v>2014</v>
      </c>
      <c r="L32" s="1056">
        <f t="shared" si="7"/>
        <v>2015</v>
      </c>
      <c r="M32" s="1056">
        <f t="shared" si="7"/>
        <v>2016</v>
      </c>
      <c r="N32" s="1056">
        <f t="shared" si="7"/>
        <v>2017</v>
      </c>
      <c r="O32" s="1056">
        <f t="shared" si="7"/>
        <v>2018</v>
      </c>
      <c r="P32" s="1056">
        <f t="shared" si="7"/>
        <v>2019</v>
      </c>
      <c r="Q32" s="1056">
        <f t="shared" si="7"/>
        <v>2020</v>
      </c>
      <c r="R32" s="1056">
        <f t="shared" si="7"/>
        <v>2021</v>
      </c>
    </row>
    <row r="33" spans="1:18" x14ac:dyDescent="0.2">
      <c r="B33" s="2" t="s">
        <v>79</v>
      </c>
      <c r="C33" s="19">
        <v>3</v>
      </c>
      <c r="G33" s="1049" t="s">
        <v>80</v>
      </c>
      <c r="H33" s="1050">
        <f>SUM(H34:H37)</f>
        <v>0</v>
      </c>
      <c r="I33" s="1050">
        <f t="shared" ref="I33:R33" si="8">SUM(I34:I37)</f>
        <v>0</v>
      </c>
      <c r="J33" s="1050">
        <f t="shared" si="8"/>
        <v>367.69200000000001</v>
      </c>
      <c r="K33" s="1050">
        <f t="shared" si="8"/>
        <v>777.005</v>
      </c>
      <c r="L33" s="1050">
        <f t="shared" si="8"/>
        <v>841.80799999999999</v>
      </c>
      <c r="M33" s="1050">
        <f t="shared" si="8"/>
        <v>1979</v>
      </c>
      <c r="N33" s="1050">
        <f t="shared" si="8"/>
        <v>3106</v>
      </c>
      <c r="O33" s="1050">
        <f t="shared" si="8"/>
        <v>1494</v>
      </c>
      <c r="P33" s="1050">
        <f t="shared" si="8"/>
        <v>1665</v>
      </c>
      <c r="Q33" s="1050">
        <f t="shared" si="8"/>
        <v>1195</v>
      </c>
      <c r="R33" s="1050">
        <f t="shared" si="8"/>
        <v>1259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1051">
        <v>0</v>
      </c>
      <c r="I34" s="1051">
        <v>0</v>
      </c>
      <c r="J34" s="1051">
        <v>0</v>
      </c>
      <c r="K34" s="1051">
        <v>0</v>
      </c>
      <c r="L34" s="1051">
        <v>0</v>
      </c>
      <c r="M34" s="1051">
        <v>0</v>
      </c>
      <c r="N34" s="1051">
        <v>0</v>
      </c>
      <c r="O34" s="1051">
        <v>0</v>
      </c>
      <c r="P34" s="1051">
        <v>0</v>
      </c>
      <c r="Q34" s="1051">
        <v>0</v>
      </c>
      <c r="R34" s="1051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1051">
        <v>0</v>
      </c>
      <c r="I35" s="1051">
        <v>0</v>
      </c>
      <c r="J35" s="1051">
        <v>24.402999999999999</v>
      </c>
      <c r="K35" s="1051">
        <v>227.7</v>
      </c>
      <c r="L35" s="1051">
        <v>287.25700000000001</v>
      </c>
      <c r="M35" s="1051">
        <v>329</v>
      </c>
      <c r="N35" s="1051">
        <v>284</v>
      </c>
      <c r="O35" s="1051">
        <v>188</v>
      </c>
      <c r="P35" s="1051">
        <v>665</v>
      </c>
      <c r="Q35" s="1051">
        <v>772</v>
      </c>
      <c r="R35" s="1051">
        <v>836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1051">
        <v>0</v>
      </c>
      <c r="I36" s="1051">
        <v>0</v>
      </c>
      <c r="J36" s="1051">
        <v>343.28899999999999</v>
      </c>
      <c r="K36" s="1051">
        <v>549.048</v>
      </c>
      <c r="L36" s="1051">
        <v>554.55100000000004</v>
      </c>
      <c r="M36" s="1052">
        <v>1650</v>
      </c>
      <c r="N36" s="1051">
        <v>2822</v>
      </c>
      <c r="O36" s="1051">
        <v>1306</v>
      </c>
      <c r="P36" s="1051">
        <v>1000</v>
      </c>
      <c r="Q36" s="1051">
        <v>423</v>
      </c>
      <c r="R36" s="1051">
        <v>423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1051">
        <v>0</v>
      </c>
      <c r="I37" s="1051">
        <v>0</v>
      </c>
      <c r="J37" s="1051">
        <v>0</v>
      </c>
      <c r="K37" s="1051">
        <v>0.25700000000000001</v>
      </c>
      <c r="L37" s="1051">
        <v>0</v>
      </c>
      <c r="M37" s="1051">
        <v>0</v>
      </c>
      <c r="N37" s="1051">
        <v>0</v>
      </c>
      <c r="O37" s="1051">
        <v>0</v>
      </c>
      <c r="P37" s="1051">
        <v>0</v>
      </c>
      <c r="Q37" s="1051">
        <v>0</v>
      </c>
      <c r="R37" s="1051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1050">
        <f>H39+H40</f>
        <v>0</v>
      </c>
      <c r="I38" s="1050">
        <f t="shared" ref="I38:R38" si="9">I39+I40</f>
        <v>0</v>
      </c>
      <c r="J38" s="1050">
        <f t="shared" si="9"/>
        <v>-3.1859999999999999</v>
      </c>
      <c r="K38" s="1050">
        <f t="shared" si="9"/>
        <v>0</v>
      </c>
      <c r="L38" s="1050">
        <f t="shared" si="9"/>
        <v>-1.25</v>
      </c>
      <c r="M38" s="1050">
        <f t="shared" si="9"/>
        <v>-14</v>
      </c>
      <c r="N38" s="1050">
        <f t="shared" si="9"/>
        <v>0</v>
      </c>
      <c r="O38" s="1050">
        <f t="shared" si="9"/>
        <v>0</v>
      </c>
      <c r="P38" s="1050">
        <f t="shared" si="9"/>
        <v>0</v>
      </c>
      <c r="Q38" s="1050">
        <f t="shared" si="9"/>
        <v>0</v>
      </c>
      <c r="R38" s="1050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1051">
        <v>0</v>
      </c>
      <c r="I39" s="1051">
        <v>0</v>
      </c>
      <c r="J39" s="1051">
        <v>0</v>
      </c>
      <c r="K39" s="1051">
        <v>0</v>
      </c>
      <c r="L39" s="1051">
        <v>-1.25</v>
      </c>
      <c r="M39" s="1051">
        <v>-1</v>
      </c>
      <c r="N39" s="1051">
        <v>0</v>
      </c>
      <c r="O39" s="1051">
        <v>0</v>
      </c>
      <c r="P39" s="1051">
        <v>0</v>
      </c>
      <c r="Q39" s="1051">
        <v>0</v>
      </c>
      <c r="R39" s="1051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1051">
        <v>0</v>
      </c>
      <c r="I40" s="1051">
        <v>0</v>
      </c>
      <c r="J40" s="1051">
        <v>-3.1859999999999999</v>
      </c>
      <c r="K40" s="1051">
        <v>0</v>
      </c>
      <c r="L40" s="1051">
        <v>0</v>
      </c>
      <c r="M40" s="1051">
        <v>-13</v>
      </c>
      <c r="N40" s="1051">
        <v>0</v>
      </c>
      <c r="O40" s="1051">
        <v>0</v>
      </c>
      <c r="P40" s="1051">
        <v>0</v>
      </c>
      <c r="Q40" s="1051">
        <v>0</v>
      </c>
      <c r="R40" s="1051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1050">
        <f>SUM(H42:H45)</f>
        <v>0</v>
      </c>
      <c r="I41" s="1050">
        <f t="shared" ref="I41:R41" si="10">SUM(I42:I45)</f>
        <v>0</v>
      </c>
      <c r="J41" s="1050">
        <f t="shared" si="10"/>
        <v>-254.53</v>
      </c>
      <c r="K41" s="1050">
        <f t="shared" si="10"/>
        <v>-831.89100000000008</v>
      </c>
      <c r="L41" s="1050">
        <f t="shared" si="10"/>
        <v>-831.87300000000005</v>
      </c>
      <c r="M41" s="1050">
        <f t="shared" si="10"/>
        <v>-1036</v>
      </c>
      <c r="N41" s="1050">
        <f t="shared" si="10"/>
        <v>-728</v>
      </c>
      <c r="O41" s="1050">
        <f t="shared" si="10"/>
        <v>-801</v>
      </c>
      <c r="P41" s="1050">
        <f t="shared" si="10"/>
        <v>-1179</v>
      </c>
      <c r="Q41" s="1050">
        <f t="shared" si="10"/>
        <v>-1278</v>
      </c>
      <c r="R41" s="1050">
        <f t="shared" si="10"/>
        <v>-1342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1051">
        <v>0</v>
      </c>
      <c r="I42" s="1051">
        <v>0</v>
      </c>
      <c r="J42" s="1051">
        <v>-140.65899999999999</v>
      </c>
      <c r="K42" s="1051">
        <v>-419.05700000000002</v>
      </c>
      <c r="L42" s="1051">
        <v>-461.25299999999999</v>
      </c>
      <c r="M42" s="1051">
        <v>-483</v>
      </c>
      <c r="N42" s="1051">
        <v>-456</v>
      </c>
      <c r="O42" s="1051">
        <v>-452</v>
      </c>
      <c r="P42" s="1051">
        <v>-706</v>
      </c>
      <c r="Q42" s="1051">
        <v>-744</v>
      </c>
      <c r="R42" s="1051">
        <v>-784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1051">
        <v>0</v>
      </c>
      <c r="I43" s="1051">
        <v>0</v>
      </c>
      <c r="J43" s="1051">
        <v>-78.021000000000001</v>
      </c>
      <c r="K43" s="1051">
        <v>-319.93299999999999</v>
      </c>
      <c r="L43" s="1051">
        <v>-292.02499999999998</v>
      </c>
      <c r="M43" s="1051">
        <v>-358</v>
      </c>
      <c r="N43" s="1051">
        <v>-195</v>
      </c>
      <c r="O43" s="1051">
        <v>-265</v>
      </c>
      <c r="P43" s="1051">
        <v>-389</v>
      </c>
      <c r="Q43" s="1051">
        <v>-450</v>
      </c>
      <c r="R43" s="1051">
        <v>-474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1051">
        <v>0</v>
      </c>
      <c r="I44" s="1051">
        <v>0</v>
      </c>
      <c r="J44" s="1051">
        <v>-0.61699999999999999</v>
      </c>
      <c r="K44" s="1051">
        <v>-3.7450000000000001</v>
      </c>
      <c r="L44" s="1051">
        <v>-4.633</v>
      </c>
      <c r="M44" s="1051">
        <v>-4</v>
      </c>
      <c r="N44" s="1051">
        <v>0</v>
      </c>
      <c r="O44" s="1051">
        <v>0</v>
      </c>
      <c r="P44" s="1051">
        <v>0</v>
      </c>
      <c r="Q44" s="1051">
        <v>0</v>
      </c>
      <c r="R44" s="1051">
        <v>0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1051">
        <v>0</v>
      </c>
      <c r="I45" s="1051">
        <v>0</v>
      </c>
      <c r="J45" s="1051">
        <v>-35.232999999999997</v>
      </c>
      <c r="K45" s="1051">
        <v>-89.156000000000006</v>
      </c>
      <c r="L45" s="1051">
        <v>-73.962000000000003</v>
      </c>
      <c r="M45" s="1052">
        <v>-191</v>
      </c>
      <c r="N45" s="1052">
        <v>-77</v>
      </c>
      <c r="O45" s="1052">
        <v>-84</v>
      </c>
      <c r="P45" s="1052">
        <v>-84</v>
      </c>
      <c r="Q45" s="1052">
        <v>-84</v>
      </c>
      <c r="R45" s="1052">
        <v>-84</v>
      </c>
    </row>
    <row r="46" spans="1:18" x14ac:dyDescent="0.2">
      <c r="B46" s="2" t="s">
        <v>107</v>
      </c>
      <c r="G46" s="18" t="s">
        <v>108</v>
      </c>
      <c r="H46" s="1050">
        <f>H33+H38+H41</f>
        <v>0</v>
      </c>
      <c r="I46" s="1050">
        <f t="shared" ref="I46:R46" si="11">I33+I38+I41</f>
        <v>0</v>
      </c>
      <c r="J46" s="1050">
        <f t="shared" si="11"/>
        <v>109.97600000000003</v>
      </c>
      <c r="K46" s="1050">
        <f t="shared" si="11"/>
        <v>-54.886000000000081</v>
      </c>
      <c r="L46" s="1050">
        <f t="shared" si="11"/>
        <v>8.6849999999999454</v>
      </c>
      <c r="M46" s="1050">
        <f t="shared" si="11"/>
        <v>929</v>
      </c>
      <c r="N46" s="1050">
        <f t="shared" si="11"/>
        <v>2378</v>
      </c>
      <c r="O46" s="1050">
        <f t="shared" si="11"/>
        <v>693</v>
      </c>
      <c r="P46" s="1050">
        <f t="shared" si="11"/>
        <v>486</v>
      </c>
      <c r="Q46" s="1050">
        <f t="shared" si="11"/>
        <v>-83</v>
      </c>
      <c r="R46" s="1050">
        <f t="shared" si="11"/>
        <v>-83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1051">
        <v>0</v>
      </c>
      <c r="I47" s="1051">
        <v>0</v>
      </c>
      <c r="J47" s="1051">
        <v>0</v>
      </c>
      <c r="K47" s="1051">
        <v>0</v>
      </c>
      <c r="L47" s="1051">
        <v>0.156</v>
      </c>
      <c r="M47" s="1051">
        <v>0</v>
      </c>
      <c r="N47" s="1051">
        <v>0</v>
      </c>
      <c r="O47" s="1051">
        <v>0</v>
      </c>
      <c r="P47" s="1051">
        <v>0</v>
      </c>
      <c r="Q47" s="1051">
        <v>0</v>
      </c>
      <c r="R47" s="1051">
        <v>0</v>
      </c>
    </row>
    <row r="48" spans="1:18" x14ac:dyDescent="0.2">
      <c r="B48" s="2" t="s">
        <v>111</v>
      </c>
      <c r="G48" s="18" t="s">
        <v>112</v>
      </c>
      <c r="H48" s="1050">
        <f>H46+H47</f>
        <v>0</v>
      </c>
      <c r="I48" s="1050">
        <f t="shared" ref="I48:R48" si="12">I46+I47</f>
        <v>0</v>
      </c>
      <c r="J48" s="1050">
        <f t="shared" si="12"/>
        <v>109.97600000000003</v>
      </c>
      <c r="K48" s="1050">
        <f t="shared" si="12"/>
        <v>-54.886000000000081</v>
      </c>
      <c r="L48" s="1050">
        <f t="shared" si="12"/>
        <v>8.840999999999946</v>
      </c>
      <c r="M48" s="1050">
        <f t="shared" si="12"/>
        <v>929</v>
      </c>
      <c r="N48" s="1050">
        <f t="shared" si="12"/>
        <v>2378</v>
      </c>
      <c r="O48" s="1050">
        <f t="shared" si="12"/>
        <v>693</v>
      </c>
      <c r="P48" s="1050">
        <f t="shared" si="12"/>
        <v>486</v>
      </c>
      <c r="Q48" s="1050">
        <f t="shared" si="12"/>
        <v>-83</v>
      </c>
      <c r="R48" s="1050">
        <f t="shared" si="12"/>
        <v>-83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1051">
        <v>0</v>
      </c>
      <c r="I49" s="1051">
        <v>0</v>
      </c>
      <c r="J49" s="1051">
        <v>0</v>
      </c>
      <c r="K49" s="1051">
        <v>0</v>
      </c>
      <c r="L49" s="1051">
        <v>0</v>
      </c>
      <c r="M49" s="1051">
        <v>0</v>
      </c>
      <c r="N49" s="1051">
        <v>0</v>
      </c>
      <c r="O49" s="1051">
        <v>0</v>
      </c>
      <c r="P49" s="1051">
        <v>0</v>
      </c>
      <c r="Q49" s="1051">
        <v>0</v>
      </c>
      <c r="R49" s="1051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1051">
        <v>0</v>
      </c>
      <c r="I50" s="1051">
        <v>0</v>
      </c>
      <c r="J50" s="1051">
        <v>0</v>
      </c>
      <c r="K50" s="1051">
        <v>0</v>
      </c>
      <c r="L50" s="1051">
        <v>0</v>
      </c>
      <c r="M50" s="1051">
        <v>0</v>
      </c>
      <c r="N50" s="1051">
        <v>0</v>
      </c>
      <c r="O50" s="1051">
        <v>0</v>
      </c>
      <c r="P50" s="1051">
        <v>0</v>
      </c>
      <c r="Q50" s="1051">
        <v>0</v>
      </c>
      <c r="R50" s="1051">
        <v>0</v>
      </c>
    </row>
    <row r="51" spans="1:18" x14ac:dyDescent="0.2">
      <c r="B51" s="2" t="s">
        <v>117</v>
      </c>
      <c r="G51" s="18" t="s">
        <v>118</v>
      </c>
      <c r="H51" s="1050">
        <f>H48+H49+H50</f>
        <v>0</v>
      </c>
      <c r="I51" s="1050">
        <f t="shared" ref="I51:R51" si="13">I48+I49+I50</f>
        <v>0</v>
      </c>
      <c r="J51" s="1050">
        <f t="shared" si="13"/>
        <v>109.97600000000003</v>
      </c>
      <c r="K51" s="1050">
        <f t="shared" si="13"/>
        <v>-54.886000000000081</v>
      </c>
      <c r="L51" s="1050">
        <f t="shared" si="13"/>
        <v>8.840999999999946</v>
      </c>
      <c r="M51" s="1050">
        <f t="shared" si="13"/>
        <v>929</v>
      </c>
      <c r="N51" s="1050">
        <f t="shared" si="13"/>
        <v>2378</v>
      </c>
      <c r="O51" s="1050">
        <f t="shared" si="13"/>
        <v>693</v>
      </c>
      <c r="P51" s="1050">
        <f t="shared" si="13"/>
        <v>486</v>
      </c>
      <c r="Q51" s="1050">
        <f t="shared" si="13"/>
        <v>-83</v>
      </c>
      <c r="R51" s="1050">
        <f t="shared" si="13"/>
        <v>-83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1055">
        <f>H30-H51</f>
        <v>0</v>
      </c>
      <c r="I52" s="1055">
        <f t="shared" ref="I52:R52" si="14">I30-I51</f>
        <v>0</v>
      </c>
      <c r="J52" s="1055">
        <f t="shared" si="14"/>
        <v>9.9999999997635314E-4</v>
      </c>
      <c r="K52" s="1055">
        <f t="shared" si="14"/>
        <v>-9.9999999991950972E-4</v>
      </c>
      <c r="L52" s="1055">
        <f t="shared" si="14"/>
        <v>1.0000000000545128E-3</v>
      </c>
      <c r="M52" s="1055">
        <f t="shared" si="14"/>
        <v>0</v>
      </c>
      <c r="N52" s="1055">
        <f t="shared" si="14"/>
        <v>0</v>
      </c>
      <c r="O52" s="1055">
        <f t="shared" si="14"/>
        <v>0</v>
      </c>
      <c r="P52" s="1055">
        <f t="shared" si="14"/>
        <v>0</v>
      </c>
      <c r="Q52" s="1055">
        <f t="shared" si="14"/>
        <v>0</v>
      </c>
      <c r="R52" s="1055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1051">
        <v>0</v>
      </c>
      <c r="I54" s="1051">
        <v>0</v>
      </c>
      <c r="J54" s="1051">
        <v>21</v>
      </c>
      <c r="K54" s="1051">
        <v>25</v>
      </c>
      <c r="L54" s="1051">
        <v>23</v>
      </c>
      <c r="M54" s="1051">
        <v>24</v>
      </c>
      <c r="N54" s="1051">
        <v>24</v>
      </c>
      <c r="O54" s="1051">
        <v>25</v>
      </c>
      <c r="P54" s="1051">
        <v>34</v>
      </c>
      <c r="Q54" s="1051">
        <v>36</v>
      </c>
      <c r="R54" s="1051">
        <v>37</v>
      </c>
    </row>
    <row r="55" spans="1:18" ht="12" x14ac:dyDescent="0.2">
      <c r="E55" s="20" t="s">
        <v>14</v>
      </c>
      <c r="G55" s="46" t="s">
        <v>122</v>
      </c>
      <c r="H55" s="1051"/>
      <c r="I55" s="1051"/>
      <c r="J55" s="1051"/>
      <c r="K55" s="1051"/>
      <c r="L55" s="1057"/>
      <c r="M55" s="1057"/>
      <c r="N55" s="1057"/>
      <c r="O55" s="1057"/>
      <c r="P55" s="1057"/>
      <c r="Q55" s="1057"/>
      <c r="R55" s="1057"/>
    </row>
    <row r="57" spans="1:18" x14ac:dyDescent="0.2">
      <c r="D57" s="49" t="s">
        <v>123</v>
      </c>
      <c r="E57" s="50" t="s">
        <v>3</v>
      </c>
      <c r="F57" s="17"/>
      <c r="G57" s="1047" t="s">
        <v>124</v>
      </c>
      <c r="H57" s="1056">
        <f>H32</f>
        <v>2011</v>
      </c>
      <c r="I57" s="1056">
        <f t="shared" ref="I57:R57" si="15">I32</f>
        <v>2012</v>
      </c>
      <c r="J57" s="1056">
        <f t="shared" si="15"/>
        <v>2013</v>
      </c>
      <c r="K57" s="1056">
        <f t="shared" si="15"/>
        <v>2014</v>
      </c>
      <c r="L57" s="1056">
        <f t="shared" si="15"/>
        <v>2015</v>
      </c>
      <c r="M57" s="1056">
        <f t="shared" si="15"/>
        <v>2016</v>
      </c>
      <c r="N57" s="1056">
        <f t="shared" si="15"/>
        <v>2017</v>
      </c>
      <c r="O57" s="1056">
        <f t="shared" si="15"/>
        <v>2018</v>
      </c>
      <c r="P57" s="1056">
        <f t="shared" si="15"/>
        <v>2019</v>
      </c>
      <c r="Q57" s="1056">
        <f t="shared" si="15"/>
        <v>2020</v>
      </c>
      <c r="R57" s="1056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1049" t="s">
        <v>128</v>
      </c>
      <c r="H58" s="1051">
        <v>0</v>
      </c>
      <c r="I58" s="1051">
        <v>0</v>
      </c>
      <c r="J58" s="1051">
        <v>-103.072</v>
      </c>
      <c r="K58" s="1051">
        <v>-42.421999999999997</v>
      </c>
      <c r="L58" s="1051">
        <v>-122.22</v>
      </c>
      <c r="M58" s="1051">
        <v>-134</v>
      </c>
      <c r="N58" s="1051">
        <v>-1949</v>
      </c>
      <c r="O58" s="1051">
        <v>-759</v>
      </c>
      <c r="P58" s="1051">
        <v>-481</v>
      </c>
      <c r="Q58" s="1051">
        <v>-30</v>
      </c>
      <c r="R58" s="1051">
        <v>-30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1051">
        <v>0</v>
      </c>
      <c r="I59" s="1051">
        <v>0</v>
      </c>
      <c r="J59" s="1051">
        <v>0.377</v>
      </c>
      <c r="K59" s="1051">
        <v>0.377</v>
      </c>
      <c r="L59" s="1051">
        <v>0.377</v>
      </c>
      <c r="M59" s="1051">
        <v>0</v>
      </c>
      <c r="N59" s="1051">
        <v>0</v>
      </c>
      <c r="O59" s="1051">
        <v>0</v>
      </c>
      <c r="P59" s="1051">
        <v>0</v>
      </c>
      <c r="Q59" s="1051">
        <v>0</v>
      </c>
      <c r="R59" s="1051">
        <v>0.377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1051">
        <v>0</v>
      </c>
      <c r="I60" s="1051">
        <v>0</v>
      </c>
      <c r="J60" s="1051">
        <v>70</v>
      </c>
      <c r="K60" s="1051">
        <v>49.5</v>
      </c>
      <c r="L60" s="1051">
        <v>108.476</v>
      </c>
      <c r="M60" s="1051">
        <v>147</v>
      </c>
      <c r="N60" s="1051">
        <v>2354</v>
      </c>
      <c r="O60" s="1051">
        <v>853</v>
      </c>
      <c r="P60" s="1051">
        <v>541</v>
      </c>
      <c r="Q60" s="1051">
        <v>0</v>
      </c>
      <c r="R60" s="1051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1051">
        <v>0</v>
      </c>
      <c r="I61" s="1051">
        <v>0</v>
      </c>
      <c r="J61" s="1051">
        <v>0</v>
      </c>
      <c r="K61" s="1051">
        <v>0</v>
      </c>
      <c r="L61" s="1051">
        <v>0</v>
      </c>
      <c r="M61" s="1051">
        <v>0</v>
      </c>
      <c r="N61" s="1051">
        <v>0</v>
      </c>
      <c r="O61" s="1051">
        <v>0</v>
      </c>
      <c r="P61" s="1051">
        <v>0</v>
      </c>
      <c r="Q61" s="1051">
        <v>0</v>
      </c>
      <c r="R61" s="1051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1051">
        <v>0</v>
      </c>
      <c r="I62" s="1051">
        <v>0</v>
      </c>
      <c r="J62" s="1051">
        <v>0</v>
      </c>
      <c r="K62" s="1051">
        <v>0</v>
      </c>
      <c r="L62" s="1051">
        <v>0</v>
      </c>
      <c r="M62" s="1051">
        <v>0</v>
      </c>
      <c r="N62" s="1051">
        <v>0</v>
      </c>
      <c r="O62" s="1051">
        <v>0</v>
      </c>
      <c r="P62" s="1051">
        <v>0</v>
      </c>
      <c r="Q62" s="1051">
        <v>0</v>
      </c>
      <c r="R62" s="1051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1051">
        <v>0</v>
      </c>
      <c r="I63" s="1051">
        <v>0</v>
      </c>
      <c r="J63" s="1051">
        <v>0</v>
      </c>
      <c r="K63" s="1051">
        <v>0</v>
      </c>
      <c r="L63" s="1051">
        <v>0</v>
      </c>
      <c r="M63" s="1051">
        <v>0</v>
      </c>
      <c r="N63" s="1051">
        <v>0</v>
      </c>
      <c r="O63" s="1051">
        <v>0</v>
      </c>
      <c r="P63" s="1051">
        <v>0</v>
      </c>
      <c r="Q63" s="1051">
        <v>0</v>
      </c>
      <c r="R63" s="1051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1051">
        <v>0</v>
      </c>
      <c r="I64" s="1051">
        <v>0</v>
      </c>
      <c r="J64" s="1051">
        <v>0</v>
      </c>
      <c r="K64" s="1051">
        <v>0</v>
      </c>
      <c r="L64" s="1051">
        <v>0</v>
      </c>
      <c r="M64" s="1051">
        <v>0</v>
      </c>
      <c r="N64" s="1051">
        <v>0</v>
      </c>
      <c r="O64" s="1051">
        <v>0</v>
      </c>
      <c r="P64" s="1051">
        <v>0</v>
      </c>
      <c r="Q64" s="1051">
        <v>0</v>
      </c>
      <c r="R64" s="1051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1051">
        <v>0</v>
      </c>
      <c r="I65" s="1051">
        <v>0</v>
      </c>
      <c r="J65" s="1051">
        <v>0</v>
      </c>
      <c r="K65" s="1051">
        <v>0</v>
      </c>
      <c r="L65" s="1051">
        <v>0</v>
      </c>
      <c r="M65" s="1051">
        <v>0</v>
      </c>
      <c r="N65" s="1051">
        <v>0</v>
      </c>
      <c r="O65" s="1051">
        <v>0</v>
      </c>
      <c r="P65" s="1051">
        <v>0</v>
      </c>
      <c r="Q65" s="1051">
        <v>0</v>
      </c>
      <c r="R65" s="1051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1051">
        <v>0</v>
      </c>
      <c r="I66" s="1051">
        <v>0</v>
      </c>
      <c r="J66" s="1051">
        <v>0</v>
      </c>
      <c r="K66" s="1051">
        <v>0</v>
      </c>
      <c r="L66" s="1051">
        <v>0</v>
      </c>
      <c r="M66" s="1051">
        <v>0</v>
      </c>
      <c r="N66" s="1051">
        <v>0</v>
      </c>
      <c r="O66" s="1051">
        <v>0</v>
      </c>
      <c r="P66" s="1051">
        <v>0</v>
      </c>
      <c r="Q66" s="1051">
        <v>0</v>
      </c>
      <c r="R66" s="1051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1051">
        <v>0</v>
      </c>
      <c r="I67" s="1051">
        <v>0</v>
      </c>
      <c r="J67" s="1051">
        <v>0</v>
      </c>
      <c r="K67" s="1051">
        <v>0</v>
      </c>
      <c r="L67" s="1051">
        <v>0</v>
      </c>
      <c r="M67" s="1051">
        <v>0</v>
      </c>
      <c r="N67" s="1051">
        <v>0</v>
      </c>
      <c r="O67" s="1051">
        <v>0</v>
      </c>
      <c r="P67" s="1051">
        <v>0</v>
      </c>
      <c r="Q67" s="1051">
        <v>0</v>
      </c>
      <c r="R67" s="1051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1051">
        <v>0</v>
      </c>
      <c r="I68" s="1051">
        <v>0</v>
      </c>
      <c r="J68" s="1051">
        <v>0</v>
      </c>
      <c r="K68" s="1051">
        <v>0</v>
      </c>
      <c r="L68" s="1051">
        <v>0</v>
      </c>
      <c r="M68" s="1051">
        <v>0</v>
      </c>
      <c r="N68" s="1051">
        <v>0</v>
      </c>
      <c r="O68" s="1051">
        <v>0</v>
      </c>
      <c r="P68" s="1051">
        <v>0</v>
      </c>
      <c r="Q68" s="1051">
        <v>0</v>
      </c>
      <c r="R68" s="1051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1051">
        <v>0</v>
      </c>
      <c r="I69" s="1051">
        <v>0</v>
      </c>
      <c r="J69" s="1051">
        <v>0</v>
      </c>
      <c r="K69" s="1051">
        <v>0</v>
      </c>
      <c r="L69" s="1051">
        <v>0</v>
      </c>
      <c r="M69" s="1051">
        <v>0</v>
      </c>
      <c r="N69" s="1051">
        <v>0</v>
      </c>
      <c r="O69" s="1051">
        <v>0</v>
      </c>
      <c r="P69" s="1051">
        <v>0</v>
      </c>
      <c r="Q69" s="1051">
        <v>0</v>
      </c>
      <c r="R69" s="1051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1051">
        <v>5.0999999999999997E-2</v>
      </c>
      <c r="I70" s="1051">
        <v>0</v>
      </c>
      <c r="J70" s="1051">
        <v>-1E-3</v>
      </c>
      <c r="K70" s="1051">
        <v>0</v>
      </c>
      <c r="L70" s="1051">
        <v>6.2E-2</v>
      </c>
      <c r="M70" s="1051">
        <v>0</v>
      </c>
      <c r="N70" s="1051">
        <v>0</v>
      </c>
      <c r="O70" s="1051">
        <v>0</v>
      </c>
      <c r="P70" s="1051">
        <v>0</v>
      </c>
      <c r="Q70" s="1051">
        <v>0</v>
      </c>
      <c r="R70" s="1051">
        <v>0</v>
      </c>
    </row>
    <row r="71" spans="2:18" x14ac:dyDescent="0.2">
      <c r="B71" s="51" t="s">
        <v>162</v>
      </c>
      <c r="D71" s="16"/>
      <c r="E71" s="22"/>
      <c r="F71" s="22"/>
      <c r="G71" s="1058" t="s">
        <v>163</v>
      </c>
      <c r="H71" s="1050">
        <f t="shared" ref="H71:R71" si="16">SUM(H58:H70)</f>
        <v>5.0999999999999997E-2</v>
      </c>
      <c r="I71" s="1050">
        <f t="shared" si="16"/>
        <v>0</v>
      </c>
      <c r="J71" s="1050">
        <f t="shared" si="16"/>
        <v>-32.696000000000005</v>
      </c>
      <c r="K71" s="1050">
        <f t="shared" si="16"/>
        <v>7.4550000000000054</v>
      </c>
      <c r="L71" s="1050">
        <f t="shared" si="16"/>
        <v>-13.305000000000005</v>
      </c>
      <c r="M71" s="1050">
        <f t="shared" si="16"/>
        <v>13</v>
      </c>
      <c r="N71" s="1050">
        <f t="shared" si="16"/>
        <v>405</v>
      </c>
      <c r="O71" s="1050">
        <f t="shared" si="16"/>
        <v>94</v>
      </c>
      <c r="P71" s="1050">
        <f t="shared" si="16"/>
        <v>60</v>
      </c>
      <c r="Q71" s="1050">
        <f t="shared" si="16"/>
        <v>-30</v>
      </c>
      <c r="R71" s="1050">
        <f t="shared" si="16"/>
        <v>-29.623000000000001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1047" t="s">
        <v>164</v>
      </c>
      <c r="H73" s="1056">
        <f t="shared" ref="H73:R73" si="17">H57</f>
        <v>2011</v>
      </c>
      <c r="I73" s="1056">
        <f t="shared" si="17"/>
        <v>2012</v>
      </c>
      <c r="J73" s="1056">
        <f t="shared" si="17"/>
        <v>2013</v>
      </c>
      <c r="K73" s="1056">
        <f t="shared" si="17"/>
        <v>2014</v>
      </c>
      <c r="L73" s="1056">
        <f t="shared" si="17"/>
        <v>2015</v>
      </c>
      <c r="M73" s="1056">
        <f t="shared" si="17"/>
        <v>2016</v>
      </c>
      <c r="N73" s="1056">
        <f t="shared" si="17"/>
        <v>2017</v>
      </c>
      <c r="O73" s="1056">
        <f t="shared" si="17"/>
        <v>2018</v>
      </c>
      <c r="P73" s="1056">
        <f t="shared" si="17"/>
        <v>2019</v>
      </c>
      <c r="Q73" s="1056">
        <f t="shared" si="17"/>
        <v>2020</v>
      </c>
      <c r="R73" s="1056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1049" t="s">
        <v>167</v>
      </c>
      <c r="H74" s="1051">
        <v>0</v>
      </c>
      <c r="I74" s="1051">
        <v>0</v>
      </c>
      <c r="J74" s="1051">
        <v>0</v>
      </c>
      <c r="K74" s="1051">
        <v>0</v>
      </c>
      <c r="L74" s="1051">
        <v>0</v>
      </c>
      <c r="M74" s="1051">
        <v>0</v>
      </c>
      <c r="N74" s="1051">
        <v>0</v>
      </c>
      <c r="O74" s="1051">
        <v>0</v>
      </c>
      <c r="P74" s="1051">
        <v>0</v>
      </c>
      <c r="Q74" s="1051">
        <v>0</v>
      </c>
      <c r="R74" s="1051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1051">
        <v>0</v>
      </c>
      <c r="I75" s="1051">
        <v>0</v>
      </c>
      <c r="J75" s="1051">
        <v>0</v>
      </c>
      <c r="K75" s="1051">
        <v>0</v>
      </c>
      <c r="L75" s="1051">
        <v>0</v>
      </c>
      <c r="M75" s="1051">
        <v>0</v>
      </c>
      <c r="N75" s="1051">
        <v>0</v>
      </c>
      <c r="O75" s="1051">
        <v>0</v>
      </c>
      <c r="P75" s="1051">
        <v>0</v>
      </c>
      <c r="Q75" s="1051">
        <v>0</v>
      </c>
      <c r="R75" s="1051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1051">
        <v>0</v>
      </c>
      <c r="I76" s="1051">
        <v>0</v>
      </c>
      <c r="J76" s="1051">
        <v>0</v>
      </c>
      <c r="K76" s="1051">
        <v>0</v>
      </c>
      <c r="L76" s="1051">
        <v>0</v>
      </c>
      <c r="M76" s="1051">
        <v>0</v>
      </c>
      <c r="N76" s="1051">
        <v>0</v>
      </c>
      <c r="O76" s="1051">
        <v>0</v>
      </c>
      <c r="P76" s="1051">
        <v>0</v>
      </c>
      <c r="Q76" s="1051">
        <v>0</v>
      </c>
      <c r="R76" s="1051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1051">
        <v>0</v>
      </c>
      <c r="I77" s="1051">
        <v>0</v>
      </c>
      <c r="J77" s="1051">
        <v>0</v>
      </c>
      <c r="K77" s="1051">
        <v>0</v>
      </c>
      <c r="L77" s="1051">
        <v>0</v>
      </c>
      <c r="M77" s="1051">
        <v>0</v>
      </c>
      <c r="N77" s="1051">
        <v>0</v>
      </c>
      <c r="O77" s="1051">
        <v>0</v>
      </c>
      <c r="P77" s="1051">
        <v>0</v>
      </c>
      <c r="Q77" s="1051">
        <v>0</v>
      </c>
      <c r="R77" s="1051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1051">
        <v>0</v>
      </c>
      <c r="I78" s="1051">
        <v>0</v>
      </c>
      <c r="J78" s="1051">
        <v>0</v>
      </c>
      <c r="K78" s="1051">
        <v>0</v>
      </c>
      <c r="L78" s="1051">
        <v>-2.5</v>
      </c>
      <c r="M78" s="1051">
        <v>0</v>
      </c>
      <c r="N78" s="1051">
        <v>0</v>
      </c>
      <c r="O78" s="1051">
        <v>0</v>
      </c>
      <c r="P78" s="1051">
        <v>0</v>
      </c>
      <c r="Q78" s="1051">
        <v>0</v>
      </c>
      <c r="R78" s="1051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1051">
        <v>0</v>
      </c>
      <c r="I79" s="1051">
        <v>0</v>
      </c>
      <c r="J79" s="1051">
        <v>0</v>
      </c>
      <c r="K79" s="1051">
        <v>0</v>
      </c>
      <c r="L79" s="1051">
        <v>0</v>
      </c>
      <c r="M79" s="1051">
        <v>0</v>
      </c>
      <c r="N79" s="1051">
        <v>0</v>
      </c>
      <c r="O79" s="1051">
        <v>0</v>
      </c>
      <c r="P79" s="1051">
        <v>0</v>
      </c>
      <c r="Q79" s="1051">
        <v>0</v>
      </c>
      <c r="R79" s="1051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1051">
        <v>0</v>
      </c>
      <c r="I80" s="1051">
        <v>0</v>
      </c>
      <c r="J80" s="1051">
        <v>0</v>
      </c>
      <c r="K80" s="1051">
        <v>0</v>
      </c>
      <c r="L80" s="1051">
        <v>0</v>
      </c>
      <c r="M80" s="1051">
        <v>0</v>
      </c>
      <c r="N80" s="1051">
        <v>0</v>
      </c>
      <c r="O80" s="1051">
        <v>0</v>
      </c>
      <c r="P80" s="1051">
        <v>0</v>
      </c>
      <c r="Q80" s="1051">
        <v>0</v>
      </c>
      <c r="R80" s="1051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1051">
        <v>0</v>
      </c>
      <c r="I81" s="1051">
        <v>0</v>
      </c>
      <c r="J81" s="1051">
        <v>0</v>
      </c>
      <c r="K81" s="1051">
        <v>0</v>
      </c>
      <c r="L81" s="1051">
        <v>0</v>
      </c>
      <c r="M81" s="1051">
        <v>0</v>
      </c>
      <c r="N81" s="1051">
        <v>0</v>
      </c>
      <c r="O81" s="1051">
        <v>0</v>
      </c>
      <c r="P81" s="1051">
        <v>0</v>
      </c>
      <c r="Q81" s="1051">
        <v>0</v>
      </c>
      <c r="R81" s="1051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1051">
        <v>0</v>
      </c>
      <c r="I82" s="1051">
        <v>0</v>
      </c>
      <c r="J82" s="1051">
        <v>0</v>
      </c>
      <c r="K82" s="1051">
        <v>0</v>
      </c>
      <c r="L82" s="1051">
        <v>0</v>
      </c>
      <c r="M82" s="1051">
        <v>0</v>
      </c>
      <c r="N82" s="1051">
        <v>0</v>
      </c>
      <c r="O82" s="1051">
        <v>0</v>
      </c>
      <c r="P82" s="1051">
        <v>0</v>
      </c>
      <c r="Q82" s="1051">
        <v>0</v>
      </c>
      <c r="R82" s="1051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1051">
        <v>0</v>
      </c>
      <c r="I83" s="1051">
        <v>0</v>
      </c>
      <c r="J83" s="1051">
        <v>0</v>
      </c>
      <c r="K83" s="1051">
        <v>0</v>
      </c>
      <c r="L83" s="1051">
        <v>0</v>
      </c>
      <c r="M83" s="1051">
        <v>0</v>
      </c>
      <c r="N83" s="1051">
        <v>0</v>
      </c>
      <c r="O83" s="1051">
        <v>0</v>
      </c>
      <c r="P83" s="1051">
        <v>0</v>
      </c>
      <c r="Q83" s="1051">
        <v>0</v>
      </c>
      <c r="R83" s="1051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1051">
        <v>0</v>
      </c>
      <c r="I84" s="1051">
        <v>0</v>
      </c>
      <c r="J84" s="1051">
        <v>0</v>
      </c>
      <c r="K84" s="1051">
        <v>0</v>
      </c>
      <c r="L84" s="1051">
        <v>0</v>
      </c>
      <c r="M84" s="1051">
        <v>0</v>
      </c>
      <c r="N84" s="1051">
        <v>0</v>
      </c>
      <c r="O84" s="1051">
        <v>0</v>
      </c>
      <c r="P84" s="1051">
        <v>0</v>
      </c>
      <c r="Q84" s="1051">
        <v>0</v>
      </c>
      <c r="R84" s="1051">
        <v>0</v>
      </c>
    </row>
    <row r="85" spans="1:18" x14ac:dyDescent="0.2">
      <c r="B85" s="2" t="s">
        <v>192</v>
      </c>
      <c r="G85" s="186" t="s">
        <v>163</v>
      </c>
      <c r="H85" s="1050">
        <f t="shared" ref="H85:R85" si="18">SUM(H74:H84)</f>
        <v>0</v>
      </c>
      <c r="I85" s="1050">
        <f t="shared" si="18"/>
        <v>0</v>
      </c>
      <c r="J85" s="1050">
        <f t="shared" si="18"/>
        <v>0</v>
      </c>
      <c r="K85" s="1050">
        <f t="shared" si="18"/>
        <v>0</v>
      </c>
      <c r="L85" s="1050">
        <f t="shared" si="18"/>
        <v>-2.5</v>
      </c>
      <c r="M85" s="1050">
        <f t="shared" si="18"/>
        <v>0</v>
      </c>
      <c r="N85" s="1050">
        <f t="shared" si="18"/>
        <v>0</v>
      </c>
      <c r="O85" s="1050">
        <f t="shared" si="18"/>
        <v>0</v>
      </c>
      <c r="P85" s="1050">
        <f t="shared" si="18"/>
        <v>0</v>
      </c>
      <c r="Q85" s="1050">
        <f t="shared" si="18"/>
        <v>0</v>
      </c>
      <c r="R85" s="1050">
        <f t="shared" si="18"/>
        <v>0</v>
      </c>
    </row>
    <row r="87" spans="1:18" x14ac:dyDescent="0.2">
      <c r="A87" s="23" t="s">
        <v>0</v>
      </c>
      <c r="D87" s="1258" t="s">
        <v>193</v>
      </c>
      <c r="E87" s="1259"/>
      <c r="G87" s="1047" t="s">
        <v>194</v>
      </c>
      <c r="H87" s="1056">
        <f t="shared" ref="H87:R87" si="19">H32</f>
        <v>2011</v>
      </c>
      <c r="I87" s="1056">
        <f t="shared" si="19"/>
        <v>2012</v>
      </c>
      <c r="J87" s="1056">
        <f t="shared" si="19"/>
        <v>2013</v>
      </c>
      <c r="K87" s="1056">
        <f t="shared" si="19"/>
        <v>2014</v>
      </c>
      <c r="L87" s="1056">
        <f t="shared" si="19"/>
        <v>2015</v>
      </c>
      <c r="M87" s="1056">
        <f t="shared" si="19"/>
        <v>2016</v>
      </c>
      <c r="N87" s="1056">
        <f t="shared" si="19"/>
        <v>2017</v>
      </c>
      <c r="O87" s="1056">
        <f t="shared" si="19"/>
        <v>2018</v>
      </c>
      <c r="P87" s="1056">
        <f t="shared" si="19"/>
        <v>2019</v>
      </c>
      <c r="Q87" s="1056">
        <f t="shared" si="19"/>
        <v>2020</v>
      </c>
      <c r="R87" s="1056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1059"/>
      <c r="G88" s="1049" t="s">
        <v>198</v>
      </c>
      <c r="H88" s="1050">
        <f>H46+H71</f>
        <v>5.0999999999999997E-2</v>
      </c>
      <c r="I88" s="1050">
        <f t="shared" ref="I88:R88" si="20">I46+I71</f>
        <v>0</v>
      </c>
      <c r="J88" s="1050">
        <f t="shared" si="20"/>
        <v>77.28000000000003</v>
      </c>
      <c r="K88" s="1050">
        <f t="shared" si="20"/>
        <v>-47.431000000000076</v>
      </c>
      <c r="L88" s="1050">
        <f t="shared" si="20"/>
        <v>-4.6200000000000596</v>
      </c>
      <c r="M88" s="1050">
        <f t="shared" si="20"/>
        <v>942</v>
      </c>
      <c r="N88" s="1050">
        <f t="shared" si="20"/>
        <v>2783</v>
      </c>
      <c r="O88" s="1050">
        <f t="shared" si="20"/>
        <v>787</v>
      </c>
      <c r="P88" s="1050">
        <f t="shared" si="20"/>
        <v>546</v>
      </c>
      <c r="Q88" s="1050">
        <f t="shared" si="20"/>
        <v>-113</v>
      </c>
      <c r="R88" s="1050">
        <f t="shared" si="20"/>
        <v>-112.623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1059"/>
      <c r="G89" s="1049" t="s">
        <v>202</v>
      </c>
      <c r="H89" s="1060">
        <f t="shared" ref="H89:R89" si="21">H33+H38+H41-H45</f>
        <v>0</v>
      </c>
      <c r="I89" s="1050">
        <f t="shared" si="21"/>
        <v>0</v>
      </c>
      <c r="J89" s="1050">
        <f t="shared" si="21"/>
        <v>145.20900000000003</v>
      </c>
      <c r="K89" s="1050">
        <f t="shared" si="21"/>
        <v>34.269999999999925</v>
      </c>
      <c r="L89" s="1050">
        <f t="shared" si="21"/>
        <v>82.646999999999949</v>
      </c>
      <c r="M89" s="1050">
        <f t="shared" si="21"/>
        <v>1120</v>
      </c>
      <c r="N89" s="1050">
        <f t="shared" si="21"/>
        <v>2455</v>
      </c>
      <c r="O89" s="1050">
        <f t="shared" si="21"/>
        <v>777</v>
      </c>
      <c r="P89" s="1050">
        <f t="shared" si="21"/>
        <v>570</v>
      </c>
      <c r="Q89" s="1050">
        <f t="shared" si="21"/>
        <v>1</v>
      </c>
      <c r="R89" s="1050">
        <f t="shared" si="21"/>
        <v>1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1061">
        <v>0</v>
      </c>
      <c r="G90" s="186" t="s">
        <v>206</v>
      </c>
      <c r="H90" s="1062" t="e">
        <f t="shared" ref="H90:R90" si="22">H89/H33</f>
        <v>#DIV/0!</v>
      </c>
      <c r="I90" s="1063" t="e">
        <f t="shared" si="22"/>
        <v>#DIV/0!</v>
      </c>
      <c r="J90" s="1063">
        <f t="shared" si="22"/>
        <v>0.39492020495414648</v>
      </c>
      <c r="K90" s="1063">
        <f t="shared" si="22"/>
        <v>4.4105250287964588E-2</v>
      </c>
      <c r="L90" s="1063">
        <f t="shared" si="22"/>
        <v>9.8177969323171022E-2</v>
      </c>
      <c r="M90" s="1063">
        <f t="shared" si="22"/>
        <v>0.56594239514906519</v>
      </c>
      <c r="N90" s="1063">
        <f t="shared" si="22"/>
        <v>0.79040566645202837</v>
      </c>
      <c r="O90" s="1063">
        <f t="shared" si="22"/>
        <v>0.52008032128514059</v>
      </c>
      <c r="P90" s="1063">
        <f t="shared" si="22"/>
        <v>0.34234234234234234</v>
      </c>
      <c r="Q90" s="1063">
        <f t="shared" si="22"/>
        <v>8.3682008368200832E-4</v>
      </c>
      <c r="R90" s="1063">
        <f t="shared" si="22"/>
        <v>7.9428117553613975E-4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1059"/>
      <c r="G91" s="18" t="s">
        <v>210</v>
      </c>
      <c r="H91" s="1064" t="e">
        <f t="shared" ref="H91:R91" si="23">-H33/(H38+H41)</f>
        <v>#DIV/0!</v>
      </c>
      <c r="I91" s="1064" t="e">
        <f t="shared" si="23"/>
        <v>#DIV/0!</v>
      </c>
      <c r="J91" s="1064">
        <f t="shared" si="23"/>
        <v>1.426733303326142</v>
      </c>
      <c r="K91" s="1064">
        <f t="shared" si="23"/>
        <v>0.93402260632703071</v>
      </c>
      <c r="L91" s="1064">
        <f t="shared" si="23"/>
        <v>1.0104246311769089</v>
      </c>
      <c r="M91" s="1064">
        <f t="shared" si="23"/>
        <v>1.8847619047619049</v>
      </c>
      <c r="N91" s="1064">
        <f t="shared" si="23"/>
        <v>4.2664835164835164</v>
      </c>
      <c r="O91" s="1064">
        <f t="shared" si="23"/>
        <v>1.8651685393258426</v>
      </c>
      <c r="P91" s="1064">
        <f t="shared" si="23"/>
        <v>1.4122137404580153</v>
      </c>
      <c r="Q91" s="1064">
        <f t="shared" si="23"/>
        <v>0.93505477308294205</v>
      </c>
      <c r="R91" s="1064">
        <f t="shared" si="23"/>
        <v>0.93815201192250375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1059"/>
      <c r="G92" s="1049" t="s">
        <v>214</v>
      </c>
      <c r="H92" s="1060">
        <f>H46</f>
        <v>0</v>
      </c>
      <c r="I92" s="1060">
        <f t="shared" ref="I92:R92" si="24">I46</f>
        <v>0</v>
      </c>
      <c r="J92" s="1060">
        <f t="shared" si="24"/>
        <v>109.97600000000003</v>
      </c>
      <c r="K92" s="1060">
        <f t="shared" si="24"/>
        <v>-54.886000000000081</v>
      </c>
      <c r="L92" s="1060">
        <f t="shared" si="24"/>
        <v>8.6849999999999454</v>
      </c>
      <c r="M92" s="1060">
        <f t="shared" si="24"/>
        <v>929</v>
      </c>
      <c r="N92" s="1060">
        <f t="shared" si="24"/>
        <v>2378</v>
      </c>
      <c r="O92" s="1060">
        <f t="shared" si="24"/>
        <v>693</v>
      </c>
      <c r="P92" s="1060">
        <f t="shared" si="24"/>
        <v>486</v>
      </c>
      <c r="Q92" s="1060">
        <f t="shared" si="24"/>
        <v>-83</v>
      </c>
      <c r="R92" s="1060">
        <f t="shared" si="24"/>
        <v>-83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1061">
        <v>-0.3</v>
      </c>
      <c r="E93" s="1061">
        <v>0</v>
      </c>
      <c r="G93" s="18" t="s">
        <v>218</v>
      </c>
      <c r="H93" s="1065" t="e">
        <f>H46/H33</f>
        <v>#DIV/0!</v>
      </c>
      <c r="I93" s="1066" t="e">
        <f t="shared" ref="I93:R93" si="25">I46/I33</f>
        <v>#DIV/0!</v>
      </c>
      <c r="J93" s="1066">
        <f t="shared" si="25"/>
        <v>0.29909815824113667</v>
      </c>
      <c r="K93" s="1066">
        <f t="shared" si="25"/>
        <v>-7.0637898083024023E-2</v>
      </c>
      <c r="L93" s="1066">
        <f t="shared" si="25"/>
        <v>1.0317079429038386E-2</v>
      </c>
      <c r="M93" s="1066">
        <f t="shared" si="25"/>
        <v>0.46942900454775138</v>
      </c>
      <c r="N93" s="1066">
        <f t="shared" si="25"/>
        <v>0.76561493882807474</v>
      </c>
      <c r="O93" s="1066">
        <f t="shared" si="25"/>
        <v>0.46385542168674698</v>
      </c>
      <c r="P93" s="1066">
        <f t="shared" si="25"/>
        <v>0.29189189189189191</v>
      </c>
      <c r="Q93" s="1066">
        <f t="shared" si="25"/>
        <v>-6.9456066945606701E-2</v>
      </c>
      <c r="R93" s="1066">
        <f t="shared" si="25"/>
        <v>-6.5925337569499601E-2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1059"/>
      <c r="G94" s="186" t="s">
        <v>222</v>
      </c>
      <c r="H94" s="1060">
        <f>H29+H30</f>
        <v>0</v>
      </c>
      <c r="I94" s="1060">
        <f t="shared" ref="I94:R94" si="26">I29+I30</f>
        <v>0</v>
      </c>
      <c r="J94" s="1060">
        <f t="shared" si="26"/>
        <v>109.977</v>
      </c>
      <c r="K94" s="1060">
        <f t="shared" si="26"/>
        <v>55.09</v>
      </c>
      <c r="L94" s="1060">
        <f t="shared" si="26"/>
        <v>63.932000000000002</v>
      </c>
      <c r="M94" s="1060">
        <f t="shared" si="26"/>
        <v>993</v>
      </c>
      <c r="N94" s="1060">
        <f t="shared" si="26"/>
        <v>3371</v>
      </c>
      <c r="O94" s="1060">
        <f t="shared" si="26"/>
        <v>4064</v>
      </c>
      <c r="P94" s="1060">
        <f t="shared" si="26"/>
        <v>4550</v>
      </c>
      <c r="Q94" s="1060">
        <f t="shared" si="26"/>
        <v>4467</v>
      </c>
      <c r="R94" s="1060">
        <f t="shared" si="26"/>
        <v>4384</v>
      </c>
    </row>
    <row r="95" spans="1:18" x14ac:dyDescent="0.2">
      <c r="G95" s="68" t="s">
        <v>223</v>
      </c>
      <c r="H95" s="1056">
        <f t="shared" ref="H95:R95" si="27">H87</f>
        <v>2011</v>
      </c>
      <c r="I95" s="1056">
        <f t="shared" si="27"/>
        <v>2012</v>
      </c>
      <c r="J95" s="1056">
        <f t="shared" si="27"/>
        <v>2013</v>
      </c>
      <c r="K95" s="1056">
        <f t="shared" si="27"/>
        <v>2014</v>
      </c>
      <c r="L95" s="1056">
        <f t="shared" si="27"/>
        <v>2015</v>
      </c>
      <c r="M95" s="1056">
        <f t="shared" si="27"/>
        <v>2016</v>
      </c>
      <c r="N95" s="1056">
        <f t="shared" si="27"/>
        <v>2017</v>
      </c>
      <c r="O95" s="1056">
        <f t="shared" si="27"/>
        <v>2018</v>
      </c>
      <c r="P95" s="1056">
        <f t="shared" si="27"/>
        <v>2019</v>
      </c>
      <c r="Q95" s="1056">
        <f t="shared" si="27"/>
        <v>2020</v>
      </c>
      <c r="R95" s="1056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1059"/>
      <c r="F96" s="69"/>
      <c r="G96" s="1049" t="s">
        <v>227</v>
      </c>
      <c r="H96" s="1060">
        <f t="shared" ref="H96:R96" si="28">H6+H12</f>
        <v>0</v>
      </c>
      <c r="I96" s="1050">
        <f t="shared" si="28"/>
        <v>0</v>
      </c>
      <c r="J96" s="1050">
        <f t="shared" si="28"/>
        <v>41.767000000000003</v>
      </c>
      <c r="K96" s="1050">
        <f t="shared" si="28"/>
        <v>7.2930000000000001</v>
      </c>
      <c r="L96" s="1050">
        <f t="shared" si="28"/>
        <v>36.427</v>
      </c>
      <c r="M96" s="1050">
        <f t="shared" si="28"/>
        <v>179</v>
      </c>
      <c r="N96" s="1050">
        <f t="shared" si="28"/>
        <v>677</v>
      </c>
      <c r="O96" s="1050">
        <f t="shared" si="28"/>
        <v>548</v>
      </c>
      <c r="P96" s="1050">
        <f t="shared" si="28"/>
        <v>292</v>
      </c>
      <c r="Q96" s="1050">
        <f t="shared" si="28"/>
        <v>184</v>
      </c>
      <c r="R96" s="1050">
        <f t="shared" si="28"/>
        <v>117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1059"/>
      <c r="F97" s="69"/>
      <c r="G97" s="18" t="s">
        <v>230</v>
      </c>
      <c r="H97" s="1060">
        <f>H19</f>
        <v>0</v>
      </c>
      <c r="I97" s="1060">
        <f t="shared" ref="I97:R97" si="29">I19</f>
        <v>0</v>
      </c>
      <c r="J97" s="1060">
        <f t="shared" si="29"/>
        <v>46.401000000000003</v>
      </c>
      <c r="K97" s="1060">
        <f t="shared" si="29"/>
        <v>50.357999999999997</v>
      </c>
      <c r="L97" s="1060">
        <f t="shared" si="29"/>
        <v>147.5</v>
      </c>
      <c r="M97" s="1060">
        <f t="shared" si="29"/>
        <v>258</v>
      </c>
      <c r="N97" s="1060">
        <f t="shared" si="29"/>
        <v>41</v>
      </c>
      <c r="O97" s="1060">
        <f t="shared" si="29"/>
        <v>38</v>
      </c>
      <c r="P97" s="1060">
        <f t="shared" si="29"/>
        <v>35</v>
      </c>
      <c r="Q97" s="1060">
        <f t="shared" si="29"/>
        <v>35</v>
      </c>
      <c r="R97" s="1060">
        <f t="shared" si="29"/>
        <v>35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1059"/>
      <c r="F98" s="69"/>
      <c r="G98" s="18" t="s">
        <v>234</v>
      </c>
      <c r="H98" s="1060">
        <f t="shared" ref="H98:R98" si="30">H97-H96</f>
        <v>0</v>
      </c>
      <c r="I98" s="1050">
        <f t="shared" si="30"/>
        <v>0</v>
      </c>
      <c r="J98" s="1050">
        <f t="shared" si="30"/>
        <v>4.6340000000000003</v>
      </c>
      <c r="K98" s="1050">
        <f t="shared" si="30"/>
        <v>43.064999999999998</v>
      </c>
      <c r="L98" s="1050">
        <f t="shared" si="30"/>
        <v>111.07300000000001</v>
      </c>
      <c r="M98" s="1050">
        <f t="shared" si="30"/>
        <v>79</v>
      </c>
      <c r="N98" s="1050">
        <f t="shared" si="30"/>
        <v>-636</v>
      </c>
      <c r="O98" s="1050">
        <f t="shared" si="30"/>
        <v>-510</v>
      </c>
      <c r="P98" s="1050">
        <f t="shared" si="30"/>
        <v>-257</v>
      </c>
      <c r="Q98" s="1050">
        <f t="shared" si="30"/>
        <v>-149</v>
      </c>
      <c r="R98" s="1050">
        <f t="shared" si="30"/>
        <v>-82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1061">
        <v>0.4</v>
      </c>
      <c r="F99" s="69"/>
      <c r="G99" s="18" t="s">
        <v>238</v>
      </c>
      <c r="H99" s="1067" t="e">
        <f t="shared" ref="H99:R99" si="31">H98/H33</f>
        <v>#DIV/0!</v>
      </c>
      <c r="I99" s="1063" t="e">
        <f t="shared" si="31"/>
        <v>#DIV/0!</v>
      </c>
      <c r="J99" s="1063">
        <f t="shared" si="31"/>
        <v>1.2602939416685706E-2</v>
      </c>
      <c r="K99" s="1063">
        <f t="shared" si="31"/>
        <v>5.5424353768637268E-2</v>
      </c>
      <c r="L99" s="1063">
        <f t="shared" si="31"/>
        <v>0.13194576435481725</v>
      </c>
      <c r="M99" s="1063">
        <f t="shared" si="31"/>
        <v>3.9919151086407277E-2</v>
      </c>
      <c r="N99" s="1063">
        <f t="shared" si="31"/>
        <v>-0.20476497102382485</v>
      </c>
      <c r="O99" s="1063">
        <f t="shared" si="31"/>
        <v>-0.34136546184738958</v>
      </c>
      <c r="P99" s="1063">
        <f t="shared" si="31"/>
        <v>-0.15435435435435435</v>
      </c>
      <c r="Q99" s="1063">
        <f t="shared" si="31"/>
        <v>-0.12468619246861924</v>
      </c>
      <c r="R99" s="1063">
        <f t="shared" si="31"/>
        <v>-6.5131056393963466E-2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1068">
        <v>0</v>
      </c>
      <c r="E100" s="1068">
        <v>5</v>
      </c>
      <c r="F100" s="69"/>
      <c r="G100" s="18" t="s">
        <v>242</v>
      </c>
      <c r="H100" s="1064" t="e">
        <f t="shared" ref="H100:R100" si="32">H98/H89</f>
        <v>#DIV/0!</v>
      </c>
      <c r="I100" s="1064" t="e">
        <f t="shared" si="32"/>
        <v>#DIV/0!</v>
      </c>
      <c r="J100" s="1064">
        <f t="shared" si="32"/>
        <v>3.1912622495850806E-2</v>
      </c>
      <c r="K100" s="1064">
        <f t="shared" si="32"/>
        <v>1.2566384592938458</v>
      </c>
      <c r="L100" s="1064">
        <f t="shared" si="32"/>
        <v>1.3439447287862847</v>
      </c>
      <c r="M100" s="1064">
        <f t="shared" si="32"/>
        <v>7.0535714285714285E-2</v>
      </c>
      <c r="N100" s="1064">
        <f t="shared" si="32"/>
        <v>-0.25906313645621182</v>
      </c>
      <c r="O100" s="1064">
        <f t="shared" si="32"/>
        <v>-0.65637065637065639</v>
      </c>
      <c r="P100" s="1064">
        <f t="shared" si="32"/>
        <v>-0.45087719298245615</v>
      </c>
      <c r="Q100" s="1064">
        <f t="shared" si="32"/>
        <v>-149</v>
      </c>
      <c r="R100" s="1064">
        <f t="shared" si="32"/>
        <v>-82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1059"/>
      <c r="F101" s="69"/>
      <c r="G101" s="18" t="s">
        <v>246</v>
      </c>
      <c r="H101" s="1060">
        <f t="shared" ref="H101:R101" si="33">-(H75+H77+H78+H79+H80+H81)</f>
        <v>0</v>
      </c>
      <c r="I101" s="1060">
        <f t="shared" si="33"/>
        <v>0</v>
      </c>
      <c r="J101" s="1060">
        <f t="shared" si="33"/>
        <v>0</v>
      </c>
      <c r="K101" s="1060">
        <f t="shared" si="33"/>
        <v>0</v>
      </c>
      <c r="L101" s="1060">
        <f t="shared" si="33"/>
        <v>2.5</v>
      </c>
      <c r="M101" s="1060">
        <f t="shared" si="33"/>
        <v>0</v>
      </c>
      <c r="N101" s="1060">
        <f t="shared" si="33"/>
        <v>0</v>
      </c>
      <c r="O101" s="1060">
        <f t="shared" si="33"/>
        <v>0</v>
      </c>
      <c r="P101" s="1060">
        <f t="shared" si="33"/>
        <v>0</v>
      </c>
      <c r="Q101" s="1060">
        <f t="shared" si="33"/>
        <v>0</v>
      </c>
      <c r="R101" s="1060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1068">
        <v>1.2</v>
      </c>
      <c r="F102" s="69"/>
      <c r="G102" s="18" t="s">
        <v>250</v>
      </c>
      <c r="H102" s="1069" t="e">
        <f t="shared" ref="H102:R102" si="34">H89/H101</f>
        <v>#DIV/0!</v>
      </c>
      <c r="I102" s="1064" t="e">
        <f t="shared" si="34"/>
        <v>#DIV/0!</v>
      </c>
      <c r="J102" s="1064" t="e">
        <f t="shared" si="34"/>
        <v>#DIV/0!</v>
      </c>
      <c r="K102" s="1064" t="e">
        <f t="shared" si="34"/>
        <v>#DIV/0!</v>
      </c>
      <c r="L102" s="1064">
        <f t="shared" si="34"/>
        <v>33.058799999999977</v>
      </c>
      <c r="M102" s="1064" t="e">
        <f t="shared" si="34"/>
        <v>#DIV/0!</v>
      </c>
      <c r="N102" s="1064" t="e">
        <f t="shared" si="34"/>
        <v>#DIV/0!</v>
      </c>
      <c r="O102" s="1064" t="e">
        <f t="shared" si="34"/>
        <v>#DIV/0!</v>
      </c>
      <c r="P102" s="1064" t="e">
        <f t="shared" si="34"/>
        <v>#DIV/0!</v>
      </c>
      <c r="Q102" s="1064" t="e">
        <f t="shared" si="34"/>
        <v>#DIV/0!</v>
      </c>
      <c r="R102" s="1064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1068">
        <v>0</v>
      </c>
      <c r="F103" s="69"/>
      <c r="G103" s="1049" t="s">
        <v>254</v>
      </c>
      <c r="H103" s="1060">
        <f t="shared" ref="H103:R103" si="35">H5-H20</f>
        <v>0</v>
      </c>
      <c r="I103" s="1060">
        <f t="shared" si="35"/>
        <v>0</v>
      </c>
      <c r="J103" s="1060">
        <f t="shared" si="35"/>
        <v>37.155999999999999</v>
      </c>
      <c r="K103" s="1060">
        <f t="shared" si="35"/>
        <v>-17.808999999999997</v>
      </c>
      <c r="L103" s="1060">
        <f t="shared" si="35"/>
        <v>-54.492999999999995</v>
      </c>
      <c r="M103" s="1060">
        <f t="shared" si="35"/>
        <v>186</v>
      </c>
      <c r="N103" s="1060">
        <f t="shared" si="35"/>
        <v>762</v>
      </c>
      <c r="O103" s="1060">
        <f t="shared" si="35"/>
        <v>598</v>
      </c>
      <c r="P103" s="1060">
        <f t="shared" si="35"/>
        <v>327</v>
      </c>
      <c r="Q103" s="1060">
        <f t="shared" si="35"/>
        <v>219</v>
      </c>
      <c r="R103" s="1060">
        <f t="shared" si="35"/>
        <v>147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1068">
        <v>1</v>
      </c>
      <c r="F104" s="69"/>
      <c r="G104" s="18" t="s">
        <v>258</v>
      </c>
      <c r="H104" s="1069" t="e">
        <f t="shared" ref="H104:R104" si="36">H5/H20</f>
        <v>#DIV/0!</v>
      </c>
      <c r="I104" s="1069" t="e">
        <f t="shared" si="36"/>
        <v>#DIV/0!</v>
      </c>
      <c r="J104" s="1069">
        <f t="shared" si="36"/>
        <v>1.8007586043404236</v>
      </c>
      <c r="K104" s="1069">
        <f t="shared" si="36"/>
        <v>0.64635211882918309</v>
      </c>
      <c r="L104" s="1069">
        <f t="shared" si="36"/>
        <v>0.56094043331480192</v>
      </c>
      <c r="M104" s="1069" t="e">
        <f t="shared" si="36"/>
        <v>#DIV/0!</v>
      </c>
      <c r="N104" s="1069" t="e">
        <f t="shared" si="36"/>
        <v>#DIV/0!</v>
      </c>
      <c r="O104" s="1069" t="e">
        <f t="shared" si="36"/>
        <v>#DIV/0!</v>
      </c>
      <c r="P104" s="1069" t="e">
        <f t="shared" si="36"/>
        <v>#DIV/0!</v>
      </c>
      <c r="Q104" s="1069" t="e">
        <f t="shared" si="36"/>
        <v>#DIV/0!</v>
      </c>
      <c r="R104" s="1069" t="e">
        <f t="shared" si="36"/>
        <v>#DIV/0!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1068">
        <v>1</v>
      </c>
      <c r="F105" s="69"/>
      <c r="G105" s="186" t="s">
        <v>262</v>
      </c>
      <c r="H105" s="1069" t="e">
        <f t="shared" ref="H105:R105" si="37">-H6/((H38+H41-H45+H47)/12)</f>
        <v>#DIV/0!</v>
      </c>
      <c r="I105" s="1069" t="e">
        <f t="shared" si="37"/>
        <v>#DIV/0!</v>
      </c>
      <c r="J105" s="1069">
        <f t="shared" si="37"/>
        <v>2.252774369277653</v>
      </c>
      <c r="K105" s="1069">
        <f t="shared" si="37"/>
        <v>0.11782937386820332</v>
      </c>
      <c r="L105" s="1069">
        <f t="shared" si="37"/>
        <v>0.57591715469595051</v>
      </c>
      <c r="M105" s="1069">
        <f t="shared" si="37"/>
        <v>2.5005820721769503</v>
      </c>
      <c r="N105" s="1069">
        <f t="shared" si="37"/>
        <v>12.47926267281106</v>
      </c>
      <c r="O105" s="1069">
        <f t="shared" si="37"/>
        <v>9.1715481171548117</v>
      </c>
      <c r="P105" s="1069">
        <f t="shared" si="37"/>
        <v>3.2</v>
      </c>
      <c r="Q105" s="1069">
        <f t="shared" si="37"/>
        <v>1.8492462311557789</v>
      </c>
      <c r="R105" s="1069">
        <f t="shared" si="37"/>
        <v>1.1160572337042927</v>
      </c>
    </row>
    <row r="106" spans="1:18" x14ac:dyDescent="0.2">
      <c r="C106" s="16"/>
      <c r="F106" s="69"/>
      <c r="G106" s="68" t="s">
        <v>263</v>
      </c>
      <c r="H106" s="1056">
        <f t="shared" ref="H106:R106" si="38">H95</f>
        <v>2011</v>
      </c>
      <c r="I106" s="1056">
        <f t="shared" si="38"/>
        <v>2012</v>
      </c>
      <c r="J106" s="1056">
        <f t="shared" si="38"/>
        <v>2013</v>
      </c>
      <c r="K106" s="1056">
        <f t="shared" si="38"/>
        <v>2014</v>
      </c>
      <c r="L106" s="1056">
        <f t="shared" si="38"/>
        <v>2015</v>
      </c>
      <c r="M106" s="1056">
        <f t="shared" si="38"/>
        <v>2016</v>
      </c>
      <c r="N106" s="1056">
        <f t="shared" si="38"/>
        <v>2017</v>
      </c>
      <c r="O106" s="1056">
        <f t="shared" si="38"/>
        <v>2018</v>
      </c>
      <c r="P106" s="1056">
        <f t="shared" si="38"/>
        <v>2019</v>
      </c>
      <c r="Q106" s="1056">
        <f t="shared" si="38"/>
        <v>2020</v>
      </c>
      <c r="R106" s="1056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1061">
        <v>0.6</v>
      </c>
      <c r="F107" s="69"/>
      <c r="G107" s="1049" t="s">
        <v>267</v>
      </c>
      <c r="H107" s="1067" t="e">
        <f t="shared" ref="H107:R107" si="39">H17/H4</f>
        <v>#DIV/0!</v>
      </c>
      <c r="I107" s="1067" t="e">
        <f t="shared" si="39"/>
        <v>#DIV/0!</v>
      </c>
      <c r="J107" s="1067">
        <f t="shared" si="39"/>
        <v>0</v>
      </c>
      <c r="K107" s="1067">
        <f t="shared" si="39"/>
        <v>0</v>
      </c>
      <c r="L107" s="1067">
        <f t="shared" si="39"/>
        <v>0</v>
      </c>
      <c r="M107" s="1067">
        <f t="shared" si="39"/>
        <v>0</v>
      </c>
      <c r="N107" s="1067">
        <f t="shared" si="39"/>
        <v>0</v>
      </c>
      <c r="O107" s="1067">
        <f t="shared" si="39"/>
        <v>0</v>
      </c>
      <c r="P107" s="1067">
        <f t="shared" si="39"/>
        <v>0</v>
      </c>
      <c r="Q107" s="1067">
        <f t="shared" si="39"/>
        <v>0</v>
      </c>
      <c r="R107" s="1067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1061">
        <v>0.4</v>
      </c>
      <c r="F108" s="69"/>
      <c r="G108" s="186" t="s">
        <v>271</v>
      </c>
      <c r="H108" s="1067" t="e">
        <f t="shared" ref="H108:R108" si="40">H27/H17</f>
        <v>#DIV/0!</v>
      </c>
      <c r="I108" s="1067" t="e">
        <f t="shared" si="40"/>
        <v>#DIV/0!</v>
      </c>
      <c r="J108" s="1067" t="e">
        <f t="shared" si="40"/>
        <v>#DIV/0!</v>
      </c>
      <c r="K108" s="1067" t="e">
        <f t="shared" si="40"/>
        <v>#DIV/0!</v>
      </c>
      <c r="L108" s="1067" t="e">
        <f t="shared" si="40"/>
        <v>#DIV/0!</v>
      </c>
      <c r="M108" s="1067" t="e">
        <f t="shared" si="40"/>
        <v>#DIV/0!</v>
      </c>
      <c r="N108" s="1067" t="e">
        <f t="shared" si="40"/>
        <v>#DIV/0!</v>
      </c>
      <c r="O108" s="1067" t="e">
        <f t="shared" si="40"/>
        <v>#DIV/0!</v>
      </c>
      <c r="P108" s="1067" t="e">
        <f t="shared" si="40"/>
        <v>#DIV/0!</v>
      </c>
      <c r="Q108" s="1067" t="e">
        <f t="shared" si="40"/>
        <v>#DIV/0!</v>
      </c>
      <c r="R108" s="1067" t="e">
        <f t="shared" si="40"/>
        <v>#DIV/0!</v>
      </c>
    </row>
    <row r="109" spans="1:18" x14ac:dyDescent="0.2">
      <c r="C109" s="16"/>
      <c r="F109" s="69"/>
      <c r="G109" s="198" t="s">
        <v>272</v>
      </c>
      <c r="H109" s="1056">
        <f t="shared" ref="H109:R109" si="41">H95</f>
        <v>2011</v>
      </c>
      <c r="I109" s="1056">
        <f t="shared" si="41"/>
        <v>2012</v>
      </c>
      <c r="J109" s="1056">
        <f t="shared" si="41"/>
        <v>2013</v>
      </c>
      <c r="K109" s="1056">
        <f t="shared" si="41"/>
        <v>2014</v>
      </c>
      <c r="L109" s="1056">
        <f t="shared" si="41"/>
        <v>2015</v>
      </c>
      <c r="M109" s="1056">
        <f t="shared" si="41"/>
        <v>2016</v>
      </c>
      <c r="N109" s="1056">
        <f t="shared" si="41"/>
        <v>2017</v>
      </c>
      <c r="O109" s="1056">
        <f t="shared" si="41"/>
        <v>2018</v>
      </c>
      <c r="P109" s="1056">
        <f t="shared" si="41"/>
        <v>2019</v>
      </c>
      <c r="Q109" s="1056">
        <f t="shared" si="41"/>
        <v>2020</v>
      </c>
      <c r="R109" s="1056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1059"/>
      <c r="F110" s="69"/>
      <c r="G110" s="18" t="s">
        <v>276</v>
      </c>
      <c r="H110" s="1070" t="e">
        <f t="shared" ref="H110:R110" si="42">H10/H4</f>
        <v>#DIV/0!</v>
      </c>
      <c r="I110" s="1070" t="e">
        <f t="shared" si="42"/>
        <v>#DIV/0!</v>
      </c>
      <c r="J110" s="1070">
        <f t="shared" si="42"/>
        <v>0.93156534736583463</v>
      </c>
      <c r="K110" s="1070">
        <f t="shared" si="42"/>
        <v>0.9721814118260409</v>
      </c>
      <c r="L110" s="1070">
        <f t="shared" si="42"/>
        <v>0.94544113763299809</v>
      </c>
      <c r="M110" s="1070">
        <f t="shared" si="42"/>
        <v>0.9196891191709845</v>
      </c>
      <c r="N110" s="1070">
        <f t="shared" si="42"/>
        <v>0.82979673888764793</v>
      </c>
      <c r="O110" s="1070">
        <f t="shared" si="42"/>
        <v>0.88426553125604801</v>
      </c>
      <c r="P110" s="1070">
        <f t="shared" si="42"/>
        <v>0.9421238938053097</v>
      </c>
      <c r="Q110" s="1070">
        <f t="shared" si="42"/>
        <v>0.96066103826118199</v>
      </c>
      <c r="R110" s="1070">
        <f t="shared" si="42"/>
        <v>0.97319474835886211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1059"/>
      <c r="F111" s="69"/>
      <c r="G111" s="18" t="s">
        <v>280</v>
      </c>
      <c r="H111" s="1070" t="e">
        <f t="shared" ref="H111:R111" si="43">-(H58)/H15</f>
        <v>#DIV/0!</v>
      </c>
      <c r="I111" s="1070" t="e">
        <f t="shared" si="43"/>
        <v>#DIV/0!</v>
      </c>
      <c r="J111" s="1070">
        <f t="shared" si="43"/>
        <v>9.0619279807423486E-2</v>
      </c>
      <c r="K111" s="1070">
        <f t="shared" si="43"/>
        <v>3.7363175491194257E-2</v>
      </c>
      <c r="L111" s="1070">
        <f t="shared" si="43"/>
        <v>0.10130691053709572</v>
      </c>
      <c r="M111" s="1070">
        <f t="shared" si="43"/>
        <v>6.2910798122065723E-2</v>
      </c>
      <c r="N111" s="1070">
        <f t="shared" si="43"/>
        <v>0.52462987886944823</v>
      </c>
      <c r="O111" s="1070">
        <f t="shared" si="43"/>
        <v>0.16611950098489822</v>
      </c>
      <c r="P111" s="1070">
        <f t="shared" si="43"/>
        <v>9.0362577493894425E-2</v>
      </c>
      <c r="Q111" s="1070">
        <f t="shared" si="43"/>
        <v>5.6095736724008976E-3</v>
      </c>
      <c r="R111" s="1070">
        <f t="shared" si="43"/>
        <v>5.621135469364812E-3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1059"/>
      <c r="F112" s="69"/>
      <c r="G112" s="1049" t="s">
        <v>284</v>
      </c>
      <c r="H112" s="1064" t="e">
        <f t="shared" ref="H112:R112" si="44">H33/H4</f>
        <v>#DIV/0!</v>
      </c>
      <c r="I112" s="1064" t="e">
        <f t="shared" si="44"/>
        <v>#DIV/0!</v>
      </c>
      <c r="J112" s="1064">
        <f t="shared" si="44"/>
        <v>0.30114621511496964</v>
      </c>
      <c r="K112" s="1064">
        <f t="shared" si="44"/>
        <v>0.66408129601852928</v>
      </c>
      <c r="L112" s="1064">
        <f t="shared" si="44"/>
        <v>0.6596967367342893</v>
      </c>
      <c r="M112" s="1064">
        <f t="shared" si="44"/>
        <v>0.85449050086355782</v>
      </c>
      <c r="N112" s="1064">
        <f t="shared" si="44"/>
        <v>0.69376814831360289</v>
      </c>
      <c r="O112" s="1064">
        <f t="shared" si="44"/>
        <v>0.28914263595897038</v>
      </c>
      <c r="P112" s="1064">
        <f t="shared" si="44"/>
        <v>0.29469026548672567</v>
      </c>
      <c r="Q112" s="1064">
        <f t="shared" si="44"/>
        <v>0.21465780492186096</v>
      </c>
      <c r="R112" s="1064">
        <f t="shared" si="44"/>
        <v>0.22957695113056165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1059"/>
      <c r="F113" s="69"/>
      <c r="G113" s="186" t="s">
        <v>288</v>
      </c>
      <c r="H113" s="1064" t="e">
        <f t="shared" ref="H113:R113" si="45">H33/H15</f>
        <v>#DIV/0!</v>
      </c>
      <c r="I113" s="1064" t="e">
        <f t="shared" si="45"/>
        <v>#DIV/0!</v>
      </c>
      <c r="J113" s="1064">
        <f t="shared" si="45"/>
        <v>0.32326901807427</v>
      </c>
      <c r="K113" s="1064">
        <f t="shared" si="45"/>
        <v>0.68434713527262736</v>
      </c>
      <c r="L113" s="1064">
        <f t="shared" si="45"/>
        <v>0.69776605911807787</v>
      </c>
      <c r="M113" s="1064">
        <f t="shared" si="45"/>
        <v>0.9291079812206573</v>
      </c>
      <c r="N113" s="1064">
        <f t="shared" si="45"/>
        <v>0.8360699865410498</v>
      </c>
      <c r="O113" s="1064">
        <f t="shared" si="45"/>
        <v>0.32698621142481943</v>
      </c>
      <c r="P113" s="1064">
        <f t="shared" si="45"/>
        <v>0.31279353747886529</v>
      </c>
      <c r="Q113" s="1064">
        <f t="shared" si="45"/>
        <v>0.22344801795063576</v>
      </c>
      <c r="R113" s="1064">
        <f t="shared" si="45"/>
        <v>0.23590031853100993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1061">
        <v>0.5</v>
      </c>
      <c r="E114" s="1061">
        <f>1/3</f>
        <v>0.33333333333333331</v>
      </c>
      <c r="F114" s="69"/>
      <c r="G114" s="18" t="s">
        <v>292</v>
      </c>
      <c r="H114" s="1070" t="e">
        <f t="shared" ref="H114:R114" si="46">H27/H4</f>
        <v>#DIV/0!</v>
      </c>
      <c r="I114" s="1070" t="e">
        <f t="shared" si="46"/>
        <v>#DIV/0!</v>
      </c>
      <c r="J114" s="1070">
        <f t="shared" si="46"/>
        <v>0.96199758389811429</v>
      </c>
      <c r="K114" s="1070">
        <f t="shared" si="46"/>
        <v>0.95696148438735285</v>
      </c>
      <c r="L114" s="1070">
        <f t="shared" si="46"/>
        <v>0.88439116557070907</v>
      </c>
      <c r="M114" s="1070">
        <f t="shared" si="46"/>
        <v>0.8886010362694301</v>
      </c>
      <c r="N114" s="1070">
        <f t="shared" si="46"/>
        <v>0.99084208175117261</v>
      </c>
      <c r="O114" s="1070">
        <f t="shared" si="46"/>
        <v>0.99264563576543452</v>
      </c>
      <c r="P114" s="1070">
        <f t="shared" si="46"/>
        <v>0.99380530973451331</v>
      </c>
      <c r="Q114" s="1070">
        <f t="shared" si="46"/>
        <v>0.99371295132028026</v>
      </c>
      <c r="R114" s="1070">
        <f t="shared" si="46"/>
        <v>0.99361779722830046</v>
      </c>
    </row>
    <row r="115" spans="1:19" x14ac:dyDescent="0.2">
      <c r="A115" s="77"/>
      <c r="C115" s="77"/>
      <c r="D115" s="78"/>
      <c r="E115" s="79"/>
      <c r="F115" s="69"/>
      <c r="G115" s="1047" t="s">
        <v>293</v>
      </c>
      <c r="H115" s="1056">
        <f t="shared" ref="H115:R115" si="47">H109</f>
        <v>2011</v>
      </c>
      <c r="I115" s="1056">
        <f t="shared" si="47"/>
        <v>2012</v>
      </c>
      <c r="J115" s="1056">
        <f t="shared" si="47"/>
        <v>2013</v>
      </c>
      <c r="K115" s="1056">
        <f t="shared" si="47"/>
        <v>2014</v>
      </c>
      <c r="L115" s="1056">
        <f t="shared" si="47"/>
        <v>2015</v>
      </c>
      <c r="M115" s="1056">
        <f t="shared" si="47"/>
        <v>2016</v>
      </c>
      <c r="N115" s="1056">
        <f t="shared" si="47"/>
        <v>2017</v>
      </c>
      <c r="O115" s="1056">
        <f t="shared" si="47"/>
        <v>2018</v>
      </c>
      <c r="P115" s="1056">
        <f t="shared" si="47"/>
        <v>2019</v>
      </c>
      <c r="Q115" s="1056">
        <f t="shared" si="47"/>
        <v>2020</v>
      </c>
      <c r="R115" s="1056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1061">
        <v>0.05</v>
      </c>
      <c r="G116" s="1049" t="s">
        <v>297</v>
      </c>
      <c r="H116" s="1063" t="e">
        <f t="shared" ref="H116:R116" si="48">H35/H33</f>
        <v>#DIV/0!</v>
      </c>
      <c r="I116" s="1063" t="e">
        <f t="shared" si="48"/>
        <v>#DIV/0!</v>
      </c>
      <c r="J116" s="1063">
        <f t="shared" si="48"/>
        <v>6.6368047169913943E-2</v>
      </c>
      <c r="K116" s="1063">
        <f t="shared" si="48"/>
        <v>0.2930483072824499</v>
      </c>
      <c r="L116" s="1063">
        <f t="shared" si="48"/>
        <v>0.34123814456503149</v>
      </c>
      <c r="M116" s="1063">
        <f t="shared" si="48"/>
        <v>0.16624557857503791</v>
      </c>
      <c r="N116" s="1063">
        <f t="shared" si="48"/>
        <v>9.1435930457179654E-2</v>
      </c>
      <c r="O116" s="1063">
        <f t="shared" si="48"/>
        <v>0.12583668005354753</v>
      </c>
      <c r="P116" s="1063">
        <f t="shared" si="48"/>
        <v>0.39939939939939939</v>
      </c>
      <c r="Q116" s="1063">
        <f t="shared" si="48"/>
        <v>0.6460251046025105</v>
      </c>
      <c r="R116" s="1063">
        <f t="shared" si="48"/>
        <v>0.66401906274821287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1061">
        <v>0.95</v>
      </c>
      <c r="G117" s="18" t="s">
        <v>301</v>
      </c>
      <c r="H117" s="1070" t="e">
        <f t="shared" ref="H117:R117" si="49">(H36+H34)/H33</f>
        <v>#DIV/0!</v>
      </c>
      <c r="I117" s="1070" t="e">
        <f t="shared" si="49"/>
        <v>#DIV/0!</v>
      </c>
      <c r="J117" s="1070">
        <f t="shared" si="49"/>
        <v>0.93363195283008604</v>
      </c>
      <c r="K117" s="1070">
        <f t="shared" si="49"/>
        <v>0.70662093551521543</v>
      </c>
      <c r="L117" s="1070">
        <f t="shared" si="49"/>
        <v>0.65876185543496857</v>
      </c>
      <c r="M117" s="1070">
        <f t="shared" si="49"/>
        <v>0.83375442142496214</v>
      </c>
      <c r="N117" s="1070">
        <f t="shared" si="49"/>
        <v>0.90856406954282032</v>
      </c>
      <c r="O117" s="1070">
        <f t="shared" si="49"/>
        <v>0.87416331994645247</v>
      </c>
      <c r="P117" s="1070">
        <f t="shared" si="49"/>
        <v>0.60060060060060061</v>
      </c>
      <c r="Q117" s="1070">
        <f t="shared" si="49"/>
        <v>0.35397489539748955</v>
      </c>
      <c r="R117" s="1070">
        <f t="shared" si="49"/>
        <v>0.33598093725178713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1061">
        <v>0.95</v>
      </c>
      <c r="G118" s="186" t="s">
        <v>305</v>
      </c>
      <c r="H118" s="1063" t="e">
        <f t="shared" ref="H118:R118" si="50">H38/(H38+H41)</f>
        <v>#DIV/0!</v>
      </c>
      <c r="I118" s="1063" t="e">
        <f t="shared" si="50"/>
        <v>#DIV/0!</v>
      </c>
      <c r="J118" s="1063">
        <f t="shared" si="50"/>
        <v>1.2362445482624284E-2</v>
      </c>
      <c r="K118" s="1063">
        <f t="shared" si="50"/>
        <v>0</v>
      </c>
      <c r="L118" s="1063">
        <f t="shared" si="50"/>
        <v>1.5003786955827649E-3</v>
      </c>
      <c r="M118" s="1063">
        <f t="shared" si="50"/>
        <v>1.3333333333333334E-2</v>
      </c>
      <c r="N118" s="1063">
        <f t="shared" si="50"/>
        <v>0</v>
      </c>
      <c r="O118" s="1063">
        <f t="shared" si="50"/>
        <v>0</v>
      </c>
      <c r="P118" s="1063">
        <f t="shared" si="50"/>
        <v>0</v>
      </c>
      <c r="Q118" s="1063">
        <f t="shared" si="50"/>
        <v>0</v>
      </c>
      <c r="R118" s="1063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1047" t="s">
        <v>306</v>
      </c>
      <c r="H119" s="1056">
        <f>H115</f>
        <v>2011</v>
      </c>
      <c r="I119" s="1056">
        <f t="shared" ref="I119:R119" si="51">I115</f>
        <v>2012</v>
      </c>
      <c r="J119" s="1056">
        <f t="shared" si="51"/>
        <v>2013</v>
      </c>
      <c r="K119" s="1056">
        <f t="shared" si="51"/>
        <v>2014</v>
      </c>
      <c r="L119" s="1056">
        <f t="shared" si="51"/>
        <v>2015</v>
      </c>
      <c r="M119" s="1056">
        <f t="shared" si="51"/>
        <v>2016</v>
      </c>
      <c r="N119" s="1056">
        <f t="shared" si="51"/>
        <v>2017</v>
      </c>
      <c r="O119" s="1056">
        <f t="shared" si="51"/>
        <v>2018</v>
      </c>
      <c r="P119" s="1056">
        <f t="shared" si="51"/>
        <v>2019</v>
      </c>
      <c r="Q119" s="1056">
        <f t="shared" si="51"/>
        <v>2020</v>
      </c>
      <c r="R119" s="1056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1071">
        <v>0.5</v>
      </c>
      <c r="E120" s="1072" t="s">
        <v>310</v>
      </c>
      <c r="F120" s="4"/>
      <c r="G120" s="1049" t="s">
        <v>311</v>
      </c>
      <c r="H120" s="1064" t="e">
        <f t="shared" ref="H120:R120" si="52">IF(H116&lt;$D$120,$E$120,H35/H4)</f>
        <v>#DIV/0!</v>
      </c>
      <c r="I120" s="1064" t="e">
        <f t="shared" si="52"/>
        <v>#DIV/0!</v>
      </c>
      <c r="J120" s="1064" t="str">
        <f t="shared" si="52"/>
        <v>N/A</v>
      </c>
      <c r="K120" s="1064" t="str">
        <f t="shared" si="52"/>
        <v>N/A</v>
      </c>
      <c r="L120" s="1064" t="str">
        <f t="shared" si="52"/>
        <v>N/A</v>
      </c>
      <c r="M120" s="1064" t="str">
        <f t="shared" si="52"/>
        <v>N/A</v>
      </c>
      <c r="N120" s="1064" t="str">
        <f t="shared" si="52"/>
        <v>N/A</v>
      </c>
      <c r="O120" s="1064" t="str">
        <f t="shared" si="52"/>
        <v>N/A</v>
      </c>
      <c r="P120" s="1064" t="str">
        <f t="shared" si="52"/>
        <v>N/A</v>
      </c>
      <c r="Q120" s="1064">
        <f t="shared" si="52"/>
        <v>0.13867433087839051</v>
      </c>
      <c r="R120" s="1064">
        <f t="shared" si="52"/>
        <v>0.15244347191830782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1071">
        <v>0.5</v>
      </c>
      <c r="E121" s="1072" t="s">
        <v>310</v>
      </c>
      <c r="F121" s="4"/>
      <c r="G121" s="18" t="s">
        <v>315</v>
      </c>
      <c r="H121" s="1064" t="e">
        <f t="shared" ref="H121:R121" si="53">IF(H116&lt;$D$121,$E$121,H35/H15)</f>
        <v>#DIV/0!</v>
      </c>
      <c r="I121" s="1064" t="e">
        <f t="shared" si="53"/>
        <v>#DIV/0!</v>
      </c>
      <c r="J121" s="1064" t="str">
        <f t="shared" si="53"/>
        <v>N/A</v>
      </c>
      <c r="K121" s="1064" t="str">
        <f t="shared" si="53"/>
        <v>N/A</v>
      </c>
      <c r="L121" s="1064" t="str">
        <f t="shared" si="53"/>
        <v>N/A</v>
      </c>
      <c r="M121" s="1064" t="str">
        <f t="shared" si="53"/>
        <v>N/A</v>
      </c>
      <c r="N121" s="1064" t="str">
        <f t="shared" si="53"/>
        <v>N/A</v>
      </c>
      <c r="O121" s="1064" t="str">
        <f t="shared" si="53"/>
        <v>N/A</v>
      </c>
      <c r="P121" s="1064" t="str">
        <f t="shared" si="53"/>
        <v>N/A</v>
      </c>
      <c r="Q121" s="1064">
        <f t="shared" si="53"/>
        <v>0.1443530291697831</v>
      </c>
      <c r="R121" s="1064">
        <f t="shared" si="53"/>
        <v>0.15664230841296609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1071">
        <v>0.5</v>
      </c>
      <c r="E122" s="1072" t="s">
        <v>310</v>
      </c>
      <c r="F122" s="4"/>
      <c r="G122" s="1049" t="s">
        <v>318</v>
      </c>
      <c r="H122" s="1070" t="e">
        <f t="shared" ref="H122:R122" si="54">IF(H116&lt;$D$122,$E$122,H46/H33)</f>
        <v>#DIV/0!</v>
      </c>
      <c r="I122" s="1070" t="e">
        <f t="shared" si="54"/>
        <v>#DIV/0!</v>
      </c>
      <c r="J122" s="1070" t="str">
        <f t="shared" si="54"/>
        <v>N/A</v>
      </c>
      <c r="K122" s="1070" t="str">
        <f t="shared" si="54"/>
        <v>N/A</v>
      </c>
      <c r="L122" s="1070" t="str">
        <f t="shared" si="54"/>
        <v>N/A</v>
      </c>
      <c r="M122" s="1070" t="str">
        <f t="shared" si="54"/>
        <v>N/A</v>
      </c>
      <c r="N122" s="1070" t="str">
        <f t="shared" si="54"/>
        <v>N/A</v>
      </c>
      <c r="O122" s="1070" t="str">
        <f t="shared" si="54"/>
        <v>N/A</v>
      </c>
      <c r="P122" s="1070" t="str">
        <f t="shared" si="54"/>
        <v>N/A</v>
      </c>
      <c r="Q122" s="1070">
        <f t="shared" si="54"/>
        <v>-6.9456066945606701E-2</v>
      </c>
      <c r="R122" s="1070">
        <f t="shared" si="54"/>
        <v>-6.5925337569499601E-2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1071">
        <v>0.5</v>
      </c>
      <c r="E123" s="1072" t="s">
        <v>310</v>
      </c>
      <c r="F123" s="4"/>
      <c r="G123" s="18" t="s">
        <v>322</v>
      </c>
      <c r="H123" s="1070" t="e">
        <f t="shared" ref="H123:R123" si="55">IF(H116&lt;$D$122,$E$123,H51/H33)</f>
        <v>#DIV/0!</v>
      </c>
      <c r="I123" s="1070" t="e">
        <f t="shared" si="55"/>
        <v>#DIV/0!</v>
      </c>
      <c r="J123" s="1070" t="str">
        <f t="shared" si="55"/>
        <v>N/A</v>
      </c>
      <c r="K123" s="1070" t="str">
        <f t="shared" si="55"/>
        <v>N/A</v>
      </c>
      <c r="L123" s="1070" t="str">
        <f t="shared" si="55"/>
        <v>N/A</v>
      </c>
      <c r="M123" s="1070" t="str">
        <f t="shared" si="55"/>
        <v>N/A</v>
      </c>
      <c r="N123" s="1070" t="str">
        <f t="shared" si="55"/>
        <v>N/A</v>
      </c>
      <c r="O123" s="1070" t="str">
        <f t="shared" si="55"/>
        <v>N/A</v>
      </c>
      <c r="P123" s="1070" t="str">
        <f t="shared" si="55"/>
        <v>N/A</v>
      </c>
      <c r="Q123" s="1070">
        <f t="shared" si="55"/>
        <v>-6.9456066945606701E-2</v>
      </c>
      <c r="R123" s="1070">
        <f t="shared" si="55"/>
        <v>-6.5925337569499601E-2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1071">
        <v>0.5</v>
      </c>
      <c r="E124" s="1072" t="s">
        <v>310</v>
      </c>
      <c r="F124" s="4"/>
      <c r="G124" s="18" t="s">
        <v>326</v>
      </c>
      <c r="H124" s="1070" t="e">
        <f t="shared" ref="H124:R124" si="56">IF(H116&lt;$D$124,$E$124,H51/H4)</f>
        <v>#DIV/0!</v>
      </c>
      <c r="I124" s="1070" t="e">
        <f t="shared" si="56"/>
        <v>#DIV/0!</v>
      </c>
      <c r="J124" s="1070" t="str">
        <f t="shared" si="56"/>
        <v>N/A</v>
      </c>
      <c r="K124" s="1070" t="str">
        <f t="shared" si="56"/>
        <v>N/A</v>
      </c>
      <c r="L124" s="1070" t="str">
        <f t="shared" si="56"/>
        <v>N/A</v>
      </c>
      <c r="M124" s="1070" t="str">
        <f t="shared" si="56"/>
        <v>N/A</v>
      </c>
      <c r="N124" s="1070" t="str">
        <f t="shared" si="56"/>
        <v>N/A</v>
      </c>
      <c r="O124" s="1070" t="str">
        <f t="shared" si="56"/>
        <v>N/A</v>
      </c>
      <c r="P124" s="1070" t="str">
        <f t="shared" si="56"/>
        <v>N/A</v>
      </c>
      <c r="Q124" s="1070">
        <f t="shared" si="56"/>
        <v>-1.4909286869049758E-2</v>
      </c>
      <c r="R124" s="1070">
        <f t="shared" si="56"/>
        <v>-1.5134938001458789E-2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1071">
        <v>0.5</v>
      </c>
      <c r="E125" s="1072" t="s">
        <v>310</v>
      </c>
      <c r="F125" s="4"/>
      <c r="G125" s="186" t="s">
        <v>330</v>
      </c>
      <c r="H125" s="1070" t="e">
        <f t="shared" ref="H125:R125" si="57">IF(H116&lt;$D$125,$E$125,H51/H27)</f>
        <v>#DIV/0!</v>
      </c>
      <c r="I125" s="1070" t="e">
        <f t="shared" si="57"/>
        <v>#DIV/0!</v>
      </c>
      <c r="J125" s="1070" t="str">
        <f t="shared" si="57"/>
        <v>N/A</v>
      </c>
      <c r="K125" s="1070" t="str">
        <f t="shared" si="57"/>
        <v>N/A</v>
      </c>
      <c r="L125" s="1070" t="str">
        <f t="shared" si="57"/>
        <v>N/A</v>
      </c>
      <c r="M125" s="1070" t="str">
        <f t="shared" si="57"/>
        <v>N/A</v>
      </c>
      <c r="N125" s="1070" t="str">
        <f t="shared" si="57"/>
        <v>N/A</v>
      </c>
      <c r="O125" s="1070" t="str">
        <f t="shared" si="57"/>
        <v>N/A</v>
      </c>
      <c r="P125" s="1070" t="str">
        <f t="shared" si="57"/>
        <v>N/A</v>
      </c>
      <c r="Q125" s="1070">
        <f t="shared" si="57"/>
        <v>-1.5003615328994939E-2</v>
      </c>
      <c r="R125" s="1070">
        <f t="shared" si="57"/>
        <v>-1.5232152688566709E-2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1056">
        <f>H119</f>
        <v>2011</v>
      </c>
      <c r="I127" s="1056">
        <f t="shared" ref="I127:R127" si="58">I119</f>
        <v>2012</v>
      </c>
      <c r="J127" s="1056">
        <f t="shared" si="58"/>
        <v>2013</v>
      </c>
      <c r="K127" s="1056">
        <f t="shared" si="58"/>
        <v>2014</v>
      </c>
      <c r="L127" s="1056">
        <f t="shared" si="58"/>
        <v>2015</v>
      </c>
      <c r="M127" s="1056">
        <f t="shared" si="58"/>
        <v>2016</v>
      </c>
      <c r="N127" s="1056">
        <f t="shared" si="58"/>
        <v>2017</v>
      </c>
      <c r="O127" s="1056">
        <f t="shared" si="58"/>
        <v>2018</v>
      </c>
      <c r="P127" s="1056">
        <f t="shared" si="58"/>
        <v>2019</v>
      </c>
      <c r="Q127" s="1056">
        <f t="shared" si="58"/>
        <v>2020</v>
      </c>
      <c r="R127" s="1056">
        <f t="shared" si="58"/>
        <v>2021</v>
      </c>
    </row>
    <row r="128" spans="1:19" x14ac:dyDescent="0.2">
      <c r="G128" s="1073" t="s">
        <v>331</v>
      </c>
      <c r="H128" s="1074">
        <f t="shared" ref="H128:R128" si="59">H33</f>
        <v>0</v>
      </c>
      <c r="I128" s="1074">
        <f t="shared" si="59"/>
        <v>0</v>
      </c>
      <c r="J128" s="1074">
        <f t="shared" si="59"/>
        <v>367.69200000000001</v>
      </c>
      <c r="K128" s="1074">
        <f t="shared" si="59"/>
        <v>777.005</v>
      </c>
      <c r="L128" s="1074">
        <f t="shared" si="59"/>
        <v>841.80799999999999</v>
      </c>
      <c r="M128" s="1074">
        <f t="shared" si="59"/>
        <v>1979</v>
      </c>
      <c r="N128" s="1074">
        <f t="shared" si="59"/>
        <v>3106</v>
      </c>
      <c r="O128" s="1074">
        <f t="shared" si="59"/>
        <v>1494</v>
      </c>
      <c r="P128" s="1074">
        <f t="shared" si="59"/>
        <v>1665</v>
      </c>
      <c r="Q128" s="1074">
        <f t="shared" si="59"/>
        <v>1195</v>
      </c>
      <c r="R128" s="1074">
        <f t="shared" si="59"/>
        <v>1259</v>
      </c>
    </row>
    <row r="129" spans="3:19" x14ac:dyDescent="0.2">
      <c r="G129" s="1073" t="s">
        <v>332</v>
      </c>
      <c r="H129" s="1074">
        <f t="shared" ref="H129:R130" si="60">H35</f>
        <v>0</v>
      </c>
      <c r="I129" s="1074">
        <f t="shared" si="60"/>
        <v>0</v>
      </c>
      <c r="J129" s="1074">
        <f t="shared" si="60"/>
        <v>24.402999999999999</v>
      </c>
      <c r="K129" s="1074">
        <f t="shared" si="60"/>
        <v>227.7</v>
      </c>
      <c r="L129" s="1074">
        <f t="shared" si="60"/>
        <v>287.25700000000001</v>
      </c>
      <c r="M129" s="1074">
        <f t="shared" si="60"/>
        <v>329</v>
      </c>
      <c r="N129" s="1074">
        <f t="shared" si="60"/>
        <v>284</v>
      </c>
      <c r="O129" s="1074">
        <f t="shared" si="60"/>
        <v>188</v>
      </c>
      <c r="P129" s="1074">
        <f t="shared" si="60"/>
        <v>665</v>
      </c>
      <c r="Q129" s="1074">
        <f t="shared" si="60"/>
        <v>772</v>
      </c>
      <c r="R129" s="1074">
        <f t="shared" si="60"/>
        <v>836</v>
      </c>
    </row>
    <row r="130" spans="3:19" x14ac:dyDescent="0.2">
      <c r="G130" s="1073" t="s">
        <v>333</v>
      </c>
      <c r="H130" s="1074">
        <f t="shared" si="60"/>
        <v>0</v>
      </c>
      <c r="I130" s="1074">
        <f t="shared" si="60"/>
        <v>0</v>
      </c>
      <c r="J130" s="1074">
        <f t="shared" si="60"/>
        <v>343.28899999999999</v>
      </c>
      <c r="K130" s="1074">
        <f t="shared" si="60"/>
        <v>549.048</v>
      </c>
      <c r="L130" s="1074">
        <f t="shared" si="60"/>
        <v>554.55100000000004</v>
      </c>
      <c r="M130" s="1074">
        <f t="shared" si="60"/>
        <v>1650</v>
      </c>
      <c r="N130" s="1074">
        <f t="shared" si="60"/>
        <v>2822</v>
      </c>
      <c r="O130" s="1074">
        <f t="shared" si="60"/>
        <v>1306</v>
      </c>
      <c r="P130" s="1074">
        <f t="shared" si="60"/>
        <v>1000</v>
      </c>
      <c r="Q130" s="1074">
        <f t="shared" si="60"/>
        <v>423</v>
      </c>
      <c r="R130" s="1074">
        <f t="shared" si="60"/>
        <v>423</v>
      </c>
    </row>
    <row r="131" spans="3:19" x14ac:dyDescent="0.2">
      <c r="G131" s="1073" t="s">
        <v>334</v>
      </c>
      <c r="H131" s="1074">
        <f t="shared" ref="H131:R131" si="61">H38+H41</f>
        <v>0</v>
      </c>
      <c r="I131" s="1074">
        <f t="shared" si="61"/>
        <v>0</v>
      </c>
      <c r="J131" s="1074">
        <f t="shared" si="61"/>
        <v>-257.71600000000001</v>
      </c>
      <c r="K131" s="1074">
        <f t="shared" si="61"/>
        <v>-831.89100000000008</v>
      </c>
      <c r="L131" s="1074">
        <f t="shared" si="61"/>
        <v>-833.12300000000005</v>
      </c>
      <c r="M131" s="1074">
        <f t="shared" si="61"/>
        <v>-1050</v>
      </c>
      <c r="N131" s="1074">
        <f t="shared" si="61"/>
        <v>-728</v>
      </c>
      <c r="O131" s="1074">
        <f t="shared" si="61"/>
        <v>-801</v>
      </c>
      <c r="P131" s="1074">
        <f t="shared" si="61"/>
        <v>-1179</v>
      </c>
      <c r="Q131" s="1074">
        <f t="shared" si="61"/>
        <v>-1278</v>
      </c>
      <c r="R131" s="1074">
        <f t="shared" si="61"/>
        <v>-1342</v>
      </c>
    </row>
    <row r="132" spans="3:19" x14ac:dyDescent="0.2">
      <c r="G132" s="1073" t="s">
        <v>335</v>
      </c>
      <c r="H132" s="1074">
        <f t="shared" ref="H132:R132" si="62">H41</f>
        <v>0</v>
      </c>
      <c r="I132" s="1074">
        <f t="shared" si="62"/>
        <v>0</v>
      </c>
      <c r="J132" s="1074">
        <f t="shared" si="62"/>
        <v>-254.53</v>
      </c>
      <c r="K132" s="1074">
        <f t="shared" si="62"/>
        <v>-831.89100000000008</v>
      </c>
      <c r="L132" s="1074">
        <f t="shared" si="62"/>
        <v>-831.87300000000005</v>
      </c>
      <c r="M132" s="1074">
        <f t="shared" si="62"/>
        <v>-1036</v>
      </c>
      <c r="N132" s="1074">
        <f t="shared" si="62"/>
        <v>-728</v>
      </c>
      <c r="O132" s="1074">
        <f t="shared" si="62"/>
        <v>-801</v>
      </c>
      <c r="P132" s="1074">
        <f t="shared" si="62"/>
        <v>-1179</v>
      </c>
      <c r="Q132" s="1074">
        <f t="shared" si="62"/>
        <v>-1278</v>
      </c>
      <c r="R132" s="1074">
        <f t="shared" si="62"/>
        <v>-1342</v>
      </c>
    </row>
    <row r="133" spans="3:19" x14ac:dyDescent="0.2">
      <c r="G133" s="1073" t="s">
        <v>336</v>
      </c>
      <c r="H133" s="1074">
        <f t="shared" ref="H133:R133" si="63">H38</f>
        <v>0</v>
      </c>
      <c r="I133" s="1074">
        <f t="shared" si="63"/>
        <v>0</v>
      </c>
      <c r="J133" s="1074">
        <f t="shared" si="63"/>
        <v>-3.1859999999999999</v>
      </c>
      <c r="K133" s="1074">
        <f t="shared" si="63"/>
        <v>0</v>
      </c>
      <c r="L133" s="1074">
        <f t="shared" si="63"/>
        <v>-1.25</v>
      </c>
      <c r="M133" s="1074">
        <f t="shared" si="63"/>
        <v>-14</v>
      </c>
      <c r="N133" s="1074">
        <f t="shared" si="63"/>
        <v>0</v>
      </c>
      <c r="O133" s="1074">
        <f t="shared" si="63"/>
        <v>0</v>
      </c>
      <c r="P133" s="1074">
        <f t="shared" si="63"/>
        <v>0</v>
      </c>
      <c r="Q133" s="1074">
        <f t="shared" si="63"/>
        <v>0</v>
      </c>
      <c r="R133" s="1074">
        <f t="shared" si="63"/>
        <v>0</v>
      </c>
    </row>
    <row r="134" spans="3:19" x14ac:dyDescent="0.2">
      <c r="G134" s="1073" t="s">
        <v>337</v>
      </c>
      <c r="H134" s="1074">
        <f t="shared" ref="H134:R134" si="64">H46</f>
        <v>0</v>
      </c>
      <c r="I134" s="1074">
        <f t="shared" si="64"/>
        <v>0</v>
      </c>
      <c r="J134" s="1074">
        <f t="shared" si="64"/>
        <v>109.97600000000003</v>
      </c>
      <c r="K134" s="1074">
        <f t="shared" si="64"/>
        <v>-54.886000000000081</v>
      </c>
      <c r="L134" s="1074">
        <f t="shared" si="64"/>
        <v>8.6849999999999454</v>
      </c>
      <c r="M134" s="1074">
        <f t="shared" si="64"/>
        <v>929</v>
      </c>
      <c r="N134" s="1074">
        <f t="shared" si="64"/>
        <v>2378</v>
      </c>
      <c r="O134" s="1074">
        <f t="shared" si="64"/>
        <v>693</v>
      </c>
      <c r="P134" s="1074">
        <f t="shared" si="64"/>
        <v>486</v>
      </c>
      <c r="Q134" s="1074">
        <f t="shared" si="64"/>
        <v>-83</v>
      </c>
      <c r="R134" s="1074">
        <f t="shared" si="64"/>
        <v>-83</v>
      </c>
    </row>
    <row r="135" spans="3:19" x14ac:dyDescent="0.2">
      <c r="G135" s="1073" t="s">
        <v>338</v>
      </c>
      <c r="H135" s="1074">
        <f t="shared" ref="H135:R135" si="65">H51</f>
        <v>0</v>
      </c>
      <c r="I135" s="1074">
        <f t="shared" si="65"/>
        <v>0</v>
      </c>
      <c r="J135" s="1074">
        <f t="shared" si="65"/>
        <v>109.97600000000003</v>
      </c>
      <c r="K135" s="1074">
        <f t="shared" si="65"/>
        <v>-54.886000000000081</v>
      </c>
      <c r="L135" s="1074">
        <f t="shared" si="65"/>
        <v>8.840999999999946</v>
      </c>
      <c r="M135" s="1074">
        <f t="shared" si="65"/>
        <v>929</v>
      </c>
      <c r="N135" s="1074">
        <f t="shared" si="65"/>
        <v>2378</v>
      </c>
      <c r="O135" s="1074">
        <f t="shared" si="65"/>
        <v>693</v>
      </c>
      <c r="P135" s="1074">
        <f t="shared" si="65"/>
        <v>486</v>
      </c>
      <c r="Q135" s="1074">
        <f t="shared" si="65"/>
        <v>-83</v>
      </c>
      <c r="R135" s="1074">
        <f t="shared" si="65"/>
        <v>-83</v>
      </c>
    </row>
    <row r="136" spans="3:19" x14ac:dyDescent="0.2">
      <c r="G136" s="1073" t="s">
        <v>339</v>
      </c>
      <c r="H136" s="1074">
        <f t="shared" ref="H136:R137" si="66">H4</f>
        <v>0</v>
      </c>
      <c r="I136" s="1074">
        <f t="shared" si="66"/>
        <v>0</v>
      </c>
      <c r="J136" s="1074">
        <f t="shared" si="66"/>
        <v>1220.9749999999999</v>
      </c>
      <c r="K136" s="1074">
        <f t="shared" si="66"/>
        <v>1170.0449999999998</v>
      </c>
      <c r="L136" s="1074">
        <f t="shared" si="66"/>
        <v>1276.0529999999999</v>
      </c>
      <c r="M136" s="1074">
        <f t="shared" si="66"/>
        <v>2316</v>
      </c>
      <c r="N136" s="1074">
        <f t="shared" si="66"/>
        <v>4477</v>
      </c>
      <c r="O136" s="1074">
        <f t="shared" si="66"/>
        <v>5167</v>
      </c>
      <c r="P136" s="1074">
        <f t="shared" si="66"/>
        <v>5650</v>
      </c>
      <c r="Q136" s="1074">
        <f t="shared" si="66"/>
        <v>5567</v>
      </c>
      <c r="R136" s="1074">
        <f t="shared" si="66"/>
        <v>5484</v>
      </c>
    </row>
    <row r="137" spans="3:19" x14ac:dyDescent="0.2">
      <c r="G137" s="1073" t="s">
        <v>340</v>
      </c>
      <c r="H137" s="1074">
        <f t="shared" si="66"/>
        <v>0</v>
      </c>
      <c r="I137" s="1074">
        <f t="shared" si="66"/>
        <v>0</v>
      </c>
      <c r="J137" s="1074">
        <f t="shared" si="66"/>
        <v>83.557000000000002</v>
      </c>
      <c r="K137" s="1074">
        <f t="shared" si="66"/>
        <v>32.548999999999999</v>
      </c>
      <c r="L137" s="1074">
        <f t="shared" si="66"/>
        <v>69.62</v>
      </c>
      <c r="M137" s="1074">
        <f t="shared" si="66"/>
        <v>186</v>
      </c>
      <c r="N137" s="1074">
        <f t="shared" si="66"/>
        <v>762</v>
      </c>
      <c r="O137" s="1074">
        <f t="shared" si="66"/>
        <v>598</v>
      </c>
      <c r="P137" s="1074">
        <f t="shared" si="66"/>
        <v>327</v>
      </c>
      <c r="Q137" s="1074">
        <f t="shared" si="66"/>
        <v>219</v>
      </c>
      <c r="R137" s="1074">
        <f t="shared" si="66"/>
        <v>147</v>
      </c>
    </row>
    <row r="138" spans="3:19" x14ac:dyDescent="0.2">
      <c r="G138" s="1073" t="s">
        <v>341</v>
      </c>
      <c r="H138" s="1074">
        <f t="shared" ref="H138:R138" si="67">H10</f>
        <v>0</v>
      </c>
      <c r="I138" s="1074">
        <f t="shared" si="67"/>
        <v>0</v>
      </c>
      <c r="J138" s="1074">
        <f t="shared" si="67"/>
        <v>1137.4179999999999</v>
      </c>
      <c r="K138" s="1074">
        <f t="shared" si="67"/>
        <v>1137.4959999999999</v>
      </c>
      <c r="L138" s="1074">
        <f t="shared" si="67"/>
        <v>1206.433</v>
      </c>
      <c r="M138" s="1074">
        <f t="shared" si="67"/>
        <v>2130</v>
      </c>
      <c r="N138" s="1074">
        <f t="shared" si="67"/>
        <v>3715</v>
      </c>
      <c r="O138" s="1074">
        <f t="shared" si="67"/>
        <v>4569</v>
      </c>
      <c r="P138" s="1074">
        <f t="shared" si="67"/>
        <v>5323</v>
      </c>
      <c r="Q138" s="1074">
        <f t="shared" si="67"/>
        <v>5348</v>
      </c>
      <c r="R138" s="1074">
        <f t="shared" si="67"/>
        <v>5337</v>
      </c>
    </row>
    <row r="139" spans="3:19" x14ac:dyDescent="0.2">
      <c r="G139" s="1073" t="s">
        <v>342</v>
      </c>
      <c r="H139" s="1074">
        <f t="shared" ref="H139:R140" si="68">H19</f>
        <v>0</v>
      </c>
      <c r="I139" s="1074">
        <f t="shared" si="68"/>
        <v>0</v>
      </c>
      <c r="J139" s="1074">
        <f t="shared" si="68"/>
        <v>46.401000000000003</v>
      </c>
      <c r="K139" s="1074">
        <f t="shared" si="68"/>
        <v>50.357999999999997</v>
      </c>
      <c r="L139" s="1074">
        <f t="shared" si="68"/>
        <v>147.5</v>
      </c>
      <c r="M139" s="1074">
        <f t="shared" si="68"/>
        <v>258</v>
      </c>
      <c r="N139" s="1074">
        <f t="shared" si="68"/>
        <v>41</v>
      </c>
      <c r="O139" s="1074">
        <f t="shared" si="68"/>
        <v>38</v>
      </c>
      <c r="P139" s="1074">
        <f t="shared" si="68"/>
        <v>35</v>
      </c>
      <c r="Q139" s="1074">
        <f t="shared" si="68"/>
        <v>35</v>
      </c>
      <c r="R139" s="1074">
        <f t="shared" si="68"/>
        <v>35</v>
      </c>
    </row>
    <row r="140" spans="3:19" x14ac:dyDescent="0.2">
      <c r="G140" s="1073" t="s">
        <v>343</v>
      </c>
      <c r="H140" s="1074">
        <f t="shared" si="68"/>
        <v>0</v>
      </c>
      <c r="I140" s="1074">
        <f t="shared" si="68"/>
        <v>0</v>
      </c>
      <c r="J140" s="1074">
        <f t="shared" si="68"/>
        <v>46.401000000000003</v>
      </c>
      <c r="K140" s="1074">
        <f t="shared" si="68"/>
        <v>50.357999999999997</v>
      </c>
      <c r="L140" s="1074">
        <f t="shared" si="68"/>
        <v>124.113</v>
      </c>
      <c r="M140" s="1074">
        <f t="shared" si="68"/>
        <v>0</v>
      </c>
      <c r="N140" s="1074">
        <f t="shared" si="68"/>
        <v>0</v>
      </c>
      <c r="O140" s="1074">
        <f t="shared" si="68"/>
        <v>0</v>
      </c>
      <c r="P140" s="1074">
        <f t="shared" si="68"/>
        <v>0</v>
      </c>
      <c r="Q140" s="1074">
        <f t="shared" si="68"/>
        <v>0</v>
      </c>
      <c r="R140" s="1074">
        <f t="shared" si="68"/>
        <v>0</v>
      </c>
    </row>
    <row r="141" spans="3:19" x14ac:dyDescent="0.2">
      <c r="G141" s="1073" t="s">
        <v>344</v>
      </c>
      <c r="H141" s="1074">
        <f t="shared" ref="H141:R141" si="69">H24</f>
        <v>0</v>
      </c>
      <c r="I141" s="1074">
        <f t="shared" si="69"/>
        <v>0</v>
      </c>
      <c r="J141" s="1074">
        <f t="shared" si="69"/>
        <v>0</v>
      </c>
      <c r="K141" s="1074">
        <f t="shared" si="69"/>
        <v>0</v>
      </c>
      <c r="L141" s="1074">
        <f t="shared" si="69"/>
        <v>16.5</v>
      </c>
      <c r="M141" s="1074">
        <f t="shared" si="69"/>
        <v>13</v>
      </c>
      <c r="N141" s="1074">
        <f t="shared" si="69"/>
        <v>7</v>
      </c>
      <c r="O141" s="1074">
        <f t="shared" si="69"/>
        <v>3</v>
      </c>
      <c r="P141" s="1074">
        <f t="shared" si="69"/>
        <v>0</v>
      </c>
      <c r="Q141" s="1074">
        <f t="shared" si="69"/>
        <v>0</v>
      </c>
      <c r="R141" s="1074">
        <f t="shared" si="69"/>
        <v>0</v>
      </c>
    </row>
    <row r="142" spans="3:19" x14ac:dyDescent="0.2">
      <c r="G142" s="1073" t="s">
        <v>345</v>
      </c>
      <c r="H142" s="1074">
        <f t="shared" ref="H142:R142" si="70">H27</f>
        <v>0</v>
      </c>
      <c r="I142" s="1074">
        <f t="shared" si="70"/>
        <v>0</v>
      </c>
      <c r="J142" s="1074">
        <f t="shared" si="70"/>
        <v>1174.575</v>
      </c>
      <c r="K142" s="1074">
        <f t="shared" si="70"/>
        <v>1119.6880000000001</v>
      </c>
      <c r="L142" s="1074">
        <f t="shared" si="70"/>
        <v>1128.53</v>
      </c>
      <c r="M142" s="1074">
        <f t="shared" si="70"/>
        <v>2058</v>
      </c>
      <c r="N142" s="1074">
        <f t="shared" si="70"/>
        <v>4436</v>
      </c>
      <c r="O142" s="1074">
        <f t="shared" si="70"/>
        <v>5129</v>
      </c>
      <c r="P142" s="1074">
        <f t="shared" si="70"/>
        <v>5615</v>
      </c>
      <c r="Q142" s="1074">
        <f t="shared" si="70"/>
        <v>5532</v>
      </c>
      <c r="R142" s="1074">
        <f t="shared" si="70"/>
        <v>5449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985" priority="51" stopIfTrue="1" operator="greaterThan">
      <formula>$E$116</formula>
    </cfRule>
    <cfRule type="cellIs" dxfId="984" priority="52" stopIfTrue="1" operator="lessThanOrEqual">
      <formula>$E$116</formula>
    </cfRule>
  </conditionalFormatting>
  <conditionalFormatting sqref="H118:Q118">
    <cfRule type="cellIs" dxfId="983" priority="49" stopIfTrue="1" operator="lessThanOrEqual">
      <formula>$E$118</formula>
    </cfRule>
    <cfRule type="cellIs" dxfId="982" priority="50" stopIfTrue="1" operator="greaterThan">
      <formula>$E$118</formula>
    </cfRule>
  </conditionalFormatting>
  <conditionalFormatting sqref="H99:Q99">
    <cfRule type="cellIs" dxfId="981" priority="47" operator="greaterThan">
      <formula>$E$99</formula>
    </cfRule>
    <cfRule type="cellIs" dxfId="980" priority="48" operator="lessThanOrEqual">
      <formula>$E$99</formula>
    </cfRule>
  </conditionalFormatting>
  <conditionalFormatting sqref="H102:Q102">
    <cfRule type="cellIs" dxfId="979" priority="45" stopIfTrue="1" operator="greaterThanOrEqual">
      <formula>$E$102</formula>
    </cfRule>
    <cfRule type="cellIs" dxfId="978" priority="46" stopIfTrue="1" operator="lessThan">
      <formula>$E$102</formula>
    </cfRule>
  </conditionalFormatting>
  <conditionalFormatting sqref="H104:Q104">
    <cfRule type="cellIs" dxfId="977" priority="43" stopIfTrue="1" operator="lessThan">
      <formula>$E$104</formula>
    </cfRule>
    <cfRule type="cellIs" dxfId="976" priority="44" stopIfTrue="1" operator="greaterThanOrEqual">
      <formula>$E$104</formula>
    </cfRule>
  </conditionalFormatting>
  <conditionalFormatting sqref="H103:Q103">
    <cfRule type="cellIs" dxfId="975" priority="41" stopIfTrue="1" operator="greaterThan">
      <formula>$E$103</formula>
    </cfRule>
    <cfRule type="cellIs" dxfId="974" priority="42" stopIfTrue="1" operator="lessThanOrEqual">
      <formula>$E$103</formula>
    </cfRule>
  </conditionalFormatting>
  <conditionalFormatting sqref="H100:Q100">
    <cfRule type="cellIs" dxfId="973" priority="30" stopIfTrue="1" operator="between">
      <formula>$D$100</formula>
      <formula>$E$100</formula>
    </cfRule>
    <cfRule type="cellIs" dxfId="972" priority="39" stopIfTrue="1" operator="lessThanOrEqual">
      <formula>$D$100</formula>
    </cfRule>
    <cfRule type="cellIs" dxfId="971" priority="40" stopIfTrue="1" operator="greaterThan">
      <formula>$E$100</formula>
    </cfRule>
  </conditionalFormatting>
  <conditionalFormatting sqref="H117:Q117">
    <cfRule type="cellIs" dxfId="970" priority="37" stopIfTrue="1" operator="greaterThan">
      <formula>$E$117</formula>
    </cfRule>
    <cfRule type="cellIs" dxfId="969" priority="38" stopIfTrue="1" operator="lessThanOrEqual">
      <formula>$E$117</formula>
    </cfRule>
  </conditionalFormatting>
  <conditionalFormatting sqref="H107:Q107">
    <cfRule type="cellIs" dxfId="968" priority="35" stopIfTrue="1" operator="greaterThan">
      <formula>$E$107</formula>
    </cfRule>
    <cfRule type="cellIs" dxfId="967" priority="36" stopIfTrue="1" operator="lessThanOrEqual">
      <formula>$E$107</formula>
    </cfRule>
  </conditionalFormatting>
  <conditionalFormatting sqref="H108:Q108">
    <cfRule type="cellIs" dxfId="966" priority="33" stopIfTrue="1" operator="lessThan">
      <formula>$E$108</formula>
    </cfRule>
    <cfRule type="cellIs" dxfId="965" priority="34" stopIfTrue="1" operator="greaterThanOrEqual">
      <formula>$E$108</formula>
    </cfRule>
  </conditionalFormatting>
  <conditionalFormatting sqref="H93:Q93">
    <cfRule type="cellIs" dxfId="964" priority="53" stopIfTrue="1" operator="lessThan">
      <formula>$D$93</formula>
    </cfRule>
    <cfRule type="cellIs" dxfId="963" priority="54" stopIfTrue="1" operator="between">
      <formula>$D$93</formula>
      <formula>$E$93</formula>
    </cfRule>
    <cfRule type="cellIs" dxfId="962" priority="55" stopIfTrue="1" operator="greaterThan">
      <formula>$E$93</formula>
    </cfRule>
  </conditionalFormatting>
  <conditionalFormatting sqref="H114:Q114">
    <cfRule type="cellIs" dxfId="961" priority="56" stopIfTrue="1" operator="lessThan">
      <formula>$E$114</formula>
    </cfRule>
    <cfRule type="cellIs" dxfId="960" priority="57" stopIfTrue="1" operator="between">
      <formula>$D$114</formula>
      <formula>$E$114</formula>
    </cfRule>
    <cfRule type="cellIs" dxfId="959" priority="58" stopIfTrue="1" operator="greaterThanOrEqual">
      <formula>$D$114</formula>
    </cfRule>
  </conditionalFormatting>
  <conditionalFormatting sqref="H90:Q90">
    <cfRule type="cellIs" dxfId="958" priority="31" stopIfTrue="1" operator="lessThan">
      <formula>$E$90</formula>
    </cfRule>
    <cfRule type="cellIs" dxfId="957" priority="32" stopIfTrue="1" operator="greaterThan">
      <formula>$E$90</formula>
    </cfRule>
  </conditionalFormatting>
  <conditionalFormatting sqref="R116">
    <cfRule type="cellIs" dxfId="956" priority="22" stopIfTrue="1" operator="greaterThan">
      <formula>$E$116</formula>
    </cfRule>
    <cfRule type="cellIs" dxfId="955" priority="23" stopIfTrue="1" operator="lessThanOrEqual">
      <formula>$E$116</formula>
    </cfRule>
  </conditionalFormatting>
  <conditionalFormatting sqref="R118">
    <cfRule type="cellIs" dxfId="954" priority="20" stopIfTrue="1" operator="lessThanOrEqual">
      <formula>$E$118</formula>
    </cfRule>
    <cfRule type="cellIs" dxfId="953" priority="21" stopIfTrue="1" operator="greaterThan">
      <formula>$E$118</formula>
    </cfRule>
  </conditionalFormatting>
  <conditionalFormatting sqref="R99">
    <cfRule type="cellIs" dxfId="952" priority="18" operator="greaterThan">
      <formula>$E$99</formula>
    </cfRule>
    <cfRule type="cellIs" dxfId="951" priority="19" operator="lessThanOrEqual">
      <formula>$E$99</formula>
    </cfRule>
  </conditionalFormatting>
  <conditionalFormatting sqref="R102">
    <cfRule type="cellIs" dxfId="950" priority="16" stopIfTrue="1" operator="greaterThanOrEqual">
      <formula>$E$102</formula>
    </cfRule>
    <cfRule type="cellIs" dxfId="949" priority="17" stopIfTrue="1" operator="lessThan">
      <formula>$E$102</formula>
    </cfRule>
  </conditionalFormatting>
  <conditionalFormatting sqref="R104">
    <cfRule type="cellIs" dxfId="948" priority="14" stopIfTrue="1" operator="lessThan">
      <formula>$E$104</formula>
    </cfRule>
    <cfRule type="cellIs" dxfId="947" priority="15" stopIfTrue="1" operator="greaterThanOrEqual">
      <formula>$E$104</formula>
    </cfRule>
  </conditionalFormatting>
  <conditionalFormatting sqref="R103">
    <cfRule type="cellIs" dxfId="946" priority="12" stopIfTrue="1" operator="greaterThan">
      <formula>$E$103</formula>
    </cfRule>
    <cfRule type="cellIs" dxfId="945" priority="13" stopIfTrue="1" operator="lessThanOrEqual">
      <formula>$E$103</formula>
    </cfRule>
  </conditionalFormatting>
  <conditionalFormatting sqref="R100">
    <cfRule type="cellIs" dxfId="944" priority="1" stopIfTrue="1" operator="between">
      <formula>$D$100</formula>
      <formula>$E$100</formula>
    </cfRule>
    <cfRule type="cellIs" dxfId="943" priority="10" stopIfTrue="1" operator="lessThanOrEqual">
      <formula>$D$100</formula>
    </cfRule>
    <cfRule type="cellIs" dxfId="942" priority="11" stopIfTrue="1" operator="greaterThan">
      <formula>$E$100</formula>
    </cfRule>
  </conditionalFormatting>
  <conditionalFormatting sqref="R117">
    <cfRule type="cellIs" dxfId="941" priority="8" stopIfTrue="1" operator="greaterThan">
      <formula>$E$117</formula>
    </cfRule>
    <cfRule type="cellIs" dxfId="940" priority="9" stopIfTrue="1" operator="lessThanOrEqual">
      <formula>$E$117</formula>
    </cfRule>
  </conditionalFormatting>
  <conditionalFormatting sqref="R107">
    <cfRule type="cellIs" dxfId="939" priority="6" stopIfTrue="1" operator="greaterThan">
      <formula>$E$107</formula>
    </cfRule>
    <cfRule type="cellIs" dxfId="938" priority="7" stopIfTrue="1" operator="lessThanOrEqual">
      <formula>$E$107</formula>
    </cfRule>
  </conditionalFormatting>
  <conditionalFormatting sqref="R108">
    <cfRule type="cellIs" dxfId="937" priority="4" stopIfTrue="1" operator="lessThan">
      <formula>$E$108</formula>
    </cfRule>
    <cfRule type="cellIs" dxfId="936" priority="5" stopIfTrue="1" operator="greaterThanOrEqual">
      <formula>$E$108</formula>
    </cfRule>
  </conditionalFormatting>
  <conditionalFormatting sqref="R93">
    <cfRule type="cellIs" dxfId="935" priority="24" stopIfTrue="1" operator="lessThan">
      <formula>$D$93</formula>
    </cfRule>
    <cfRule type="cellIs" dxfId="934" priority="25" stopIfTrue="1" operator="between">
      <formula>$D$93</formula>
      <formula>$E$93</formula>
    </cfRule>
    <cfRule type="cellIs" dxfId="933" priority="26" stopIfTrue="1" operator="greaterThan">
      <formula>$E$93</formula>
    </cfRule>
  </conditionalFormatting>
  <conditionalFormatting sqref="R114">
    <cfRule type="cellIs" dxfId="932" priority="27" stopIfTrue="1" operator="lessThan">
      <formula>$E$114</formula>
    </cfRule>
    <cfRule type="cellIs" dxfId="931" priority="28" stopIfTrue="1" operator="between">
      <formula>$D$114</formula>
      <formula>$E$114</formula>
    </cfRule>
    <cfRule type="cellIs" dxfId="930" priority="29" stopIfTrue="1" operator="greaterThanOrEqual">
      <formula>$D$114</formula>
    </cfRule>
  </conditionalFormatting>
  <conditionalFormatting sqref="R90">
    <cfRule type="cellIs" dxfId="929" priority="2" stopIfTrue="1" operator="lessThan">
      <formula>$E$90</formula>
    </cfRule>
    <cfRule type="cellIs" dxfId="928" priority="3" stopIfTrue="1" operator="greaterThan">
      <formula>$E$90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03" customWidth="1"/>
    <col min="2" max="2" width="5" style="89" customWidth="1"/>
    <col min="3" max="3" width="21" style="106" customWidth="1"/>
    <col min="4" max="4" width="7.28515625" style="106" customWidth="1"/>
    <col min="5" max="5" width="5.140625" style="104" customWidth="1"/>
    <col min="6" max="6" width="2.140625" style="103" customWidth="1"/>
    <col min="7" max="7" width="21.5703125" style="142" customWidth="1"/>
    <col min="8" max="18" width="8.7109375" style="91" customWidth="1"/>
    <col min="19" max="256" width="9.140625" style="91"/>
    <col min="257" max="257" width="5.7109375" style="91" customWidth="1"/>
    <col min="258" max="258" width="5" style="91" customWidth="1"/>
    <col min="259" max="259" width="21" style="91" customWidth="1"/>
    <col min="260" max="260" width="7.28515625" style="91" customWidth="1"/>
    <col min="261" max="261" width="5.140625" style="91" customWidth="1"/>
    <col min="262" max="262" width="2.140625" style="91" customWidth="1"/>
    <col min="263" max="263" width="21.5703125" style="91" customWidth="1"/>
    <col min="264" max="274" width="8.7109375" style="91" customWidth="1"/>
    <col min="275" max="512" width="9.140625" style="91"/>
    <col min="513" max="513" width="5.7109375" style="91" customWidth="1"/>
    <col min="514" max="514" width="5" style="91" customWidth="1"/>
    <col min="515" max="515" width="21" style="91" customWidth="1"/>
    <col min="516" max="516" width="7.28515625" style="91" customWidth="1"/>
    <col min="517" max="517" width="5.140625" style="91" customWidth="1"/>
    <col min="518" max="518" width="2.140625" style="91" customWidth="1"/>
    <col min="519" max="519" width="21.5703125" style="91" customWidth="1"/>
    <col min="520" max="530" width="8.7109375" style="91" customWidth="1"/>
    <col min="531" max="768" width="9.140625" style="91"/>
    <col min="769" max="769" width="5.7109375" style="91" customWidth="1"/>
    <col min="770" max="770" width="5" style="91" customWidth="1"/>
    <col min="771" max="771" width="21" style="91" customWidth="1"/>
    <col min="772" max="772" width="7.28515625" style="91" customWidth="1"/>
    <col min="773" max="773" width="5.140625" style="91" customWidth="1"/>
    <col min="774" max="774" width="2.140625" style="91" customWidth="1"/>
    <col min="775" max="775" width="21.5703125" style="91" customWidth="1"/>
    <col min="776" max="786" width="8.7109375" style="91" customWidth="1"/>
    <col min="787" max="1024" width="9.140625" style="91"/>
    <col min="1025" max="1025" width="5.7109375" style="91" customWidth="1"/>
    <col min="1026" max="1026" width="5" style="91" customWidth="1"/>
    <col min="1027" max="1027" width="21" style="91" customWidth="1"/>
    <col min="1028" max="1028" width="7.28515625" style="91" customWidth="1"/>
    <col min="1029" max="1029" width="5.140625" style="91" customWidth="1"/>
    <col min="1030" max="1030" width="2.140625" style="91" customWidth="1"/>
    <col min="1031" max="1031" width="21.5703125" style="91" customWidth="1"/>
    <col min="1032" max="1042" width="8.7109375" style="91" customWidth="1"/>
    <col min="1043" max="1280" width="9.140625" style="91"/>
    <col min="1281" max="1281" width="5.7109375" style="91" customWidth="1"/>
    <col min="1282" max="1282" width="5" style="91" customWidth="1"/>
    <col min="1283" max="1283" width="21" style="91" customWidth="1"/>
    <col min="1284" max="1284" width="7.28515625" style="91" customWidth="1"/>
    <col min="1285" max="1285" width="5.140625" style="91" customWidth="1"/>
    <col min="1286" max="1286" width="2.140625" style="91" customWidth="1"/>
    <col min="1287" max="1287" width="21.5703125" style="91" customWidth="1"/>
    <col min="1288" max="1298" width="8.7109375" style="91" customWidth="1"/>
    <col min="1299" max="1536" width="9.140625" style="91"/>
    <col min="1537" max="1537" width="5.7109375" style="91" customWidth="1"/>
    <col min="1538" max="1538" width="5" style="91" customWidth="1"/>
    <col min="1539" max="1539" width="21" style="91" customWidth="1"/>
    <col min="1540" max="1540" width="7.28515625" style="91" customWidth="1"/>
    <col min="1541" max="1541" width="5.140625" style="91" customWidth="1"/>
    <col min="1542" max="1542" width="2.140625" style="91" customWidth="1"/>
    <col min="1543" max="1543" width="21.5703125" style="91" customWidth="1"/>
    <col min="1544" max="1554" width="8.7109375" style="91" customWidth="1"/>
    <col min="1555" max="1792" width="9.140625" style="91"/>
    <col min="1793" max="1793" width="5.7109375" style="91" customWidth="1"/>
    <col min="1794" max="1794" width="5" style="91" customWidth="1"/>
    <col min="1795" max="1795" width="21" style="91" customWidth="1"/>
    <col min="1796" max="1796" width="7.28515625" style="91" customWidth="1"/>
    <col min="1797" max="1797" width="5.140625" style="91" customWidth="1"/>
    <col min="1798" max="1798" width="2.140625" style="91" customWidth="1"/>
    <col min="1799" max="1799" width="21.5703125" style="91" customWidth="1"/>
    <col min="1800" max="1810" width="8.7109375" style="91" customWidth="1"/>
    <col min="1811" max="2048" width="9.140625" style="91"/>
    <col min="2049" max="2049" width="5.7109375" style="91" customWidth="1"/>
    <col min="2050" max="2050" width="5" style="91" customWidth="1"/>
    <col min="2051" max="2051" width="21" style="91" customWidth="1"/>
    <col min="2052" max="2052" width="7.28515625" style="91" customWidth="1"/>
    <col min="2053" max="2053" width="5.140625" style="91" customWidth="1"/>
    <col min="2054" max="2054" width="2.140625" style="91" customWidth="1"/>
    <col min="2055" max="2055" width="21.5703125" style="91" customWidth="1"/>
    <col min="2056" max="2066" width="8.7109375" style="91" customWidth="1"/>
    <col min="2067" max="2304" width="9.140625" style="91"/>
    <col min="2305" max="2305" width="5.7109375" style="91" customWidth="1"/>
    <col min="2306" max="2306" width="5" style="91" customWidth="1"/>
    <col min="2307" max="2307" width="21" style="91" customWidth="1"/>
    <col min="2308" max="2308" width="7.28515625" style="91" customWidth="1"/>
    <col min="2309" max="2309" width="5.140625" style="91" customWidth="1"/>
    <col min="2310" max="2310" width="2.140625" style="91" customWidth="1"/>
    <col min="2311" max="2311" width="21.5703125" style="91" customWidth="1"/>
    <col min="2312" max="2322" width="8.7109375" style="91" customWidth="1"/>
    <col min="2323" max="2560" width="9.140625" style="91"/>
    <col min="2561" max="2561" width="5.7109375" style="91" customWidth="1"/>
    <col min="2562" max="2562" width="5" style="91" customWidth="1"/>
    <col min="2563" max="2563" width="21" style="91" customWidth="1"/>
    <col min="2564" max="2564" width="7.28515625" style="91" customWidth="1"/>
    <col min="2565" max="2565" width="5.140625" style="91" customWidth="1"/>
    <col min="2566" max="2566" width="2.140625" style="91" customWidth="1"/>
    <col min="2567" max="2567" width="21.5703125" style="91" customWidth="1"/>
    <col min="2568" max="2578" width="8.7109375" style="91" customWidth="1"/>
    <col min="2579" max="2816" width="9.140625" style="91"/>
    <col min="2817" max="2817" width="5.7109375" style="91" customWidth="1"/>
    <col min="2818" max="2818" width="5" style="91" customWidth="1"/>
    <col min="2819" max="2819" width="21" style="91" customWidth="1"/>
    <col min="2820" max="2820" width="7.28515625" style="91" customWidth="1"/>
    <col min="2821" max="2821" width="5.140625" style="91" customWidth="1"/>
    <col min="2822" max="2822" width="2.140625" style="91" customWidth="1"/>
    <col min="2823" max="2823" width="21.5703125" style="91" customWidth="1"/>
    <col min="2824" max="2834" width="8.7109375" style="91" customWidth="1"/>
    <col min="2835" max="3072" width="9.140625" style="91"/>
    <col min="3073" max="3073" width="5.7109375" style="91" customWidth="1"/>
    <col min="3074" max="3074" width="5" style="91" customWidth="1"/>
    <col min="3075" max="3075" width="21" style="91" customWidth="1"/>
    <col min="3076" max="3076" width="7.28515625" style="91" customWidth="1"/>
    <col min="3077" max="3077" width="5.140625" style="91" customWidth="1"/>
    <col min="3078" max="3078" width="2.140625" style="91" customWidth="1"/>
    <col min="3079" max="3079" width="21.5703125" style="91" customWidth="1"/>
    <col min="3080" max="3090" width="8.7109375" style="91" customWidth="1"/>
    <col min="3091" max="3328" width="9.140625" style="91"/>
    <col min="3329" max="3329" width="5.7109375" style="91" customWidth="1"/>
    <col min="3330" max="3330" width="5" style="91" customWidth="1"/>
    <col min="3331" max="3331" width="21" style="91" customWidth="1"/>
    <col min="3332" max="3332" width="7.28515625" style="91" customWidth="1"/>
    <col min="3333" max="3333" width="5.140625" style="91" customWidth="1"/>
    <col min="3334" max="3334" width="2.140625" style="91" customWidth="1"/>
    <col min="3335" max="3335" width="21.5703125" style="91" customWidth="1"/>
    <col min="3336" max="3346" width="8.7109375" style="91" customWidth="1"/>
    <col min="3347" max="3584" width="9.140625" style="91"/>
    <col min="3585" max="3585" width="5.7109375" style="91" customWidth="1"/>
    <col min="3586" max="3586" width="5" style="91" customWidth="1"/>
    <col min="3587" max="3587" width="21" style="91" customWidth="1"/>
    <col min="3588" max="3588" width="7.28515625" style="91" customWidth="1"/>
    <col min="3589" max="3589" width="5.140625" style="91" customWidth="1"/>
    <col min="3590" max="3590" width="2.140625" style="91" customWidth="1"/>
    <col min="3591" max="3591" width="21.5703125" style="91" customWidth="1"/>
    <col min="3592" max="3602" width="8.7109375" style="91" customWidth="1"/>
    <col min="3603" max="3840" width="9.140625" style="91"/>
    <col min="3841" max="3841" width="5.7109375" style="91" customWidth="1"/>
    <col min="3842" max="3842" width="5" style="91" customWidth="1"/>
    <col min="3843" max="3843" width="21" style="91" customWidth="1"/>
    <col min="3844" max="3844" width="7.28515625" style="91" customWidth="1"/>
    <col min="3845" max="3845" width="5.140625" style="91" customWidth="1"/>
    <col min="3846" max="3846" width="2.140625" style="91" customWidth="1"/>
    <col min="3847" max="3847" width="21.5703125" style="91" customWidth="1"/>
    <col min="3848" max="3858" width="8.7109375" style="91" customWidth="1"/>
    <col min="3859" max="4096" width="9.140625" style="91"/>
    <col min="4097" max="4097" width="5.7109375" style="91" customWidth="1"/>
    <col min="4098" max="4098" width="5" style="91" customWidth="1"/>
    <col min="4099" max="4099" width="21" style="91" customWidth="1"/>
    <col min="4100" max="4100" width="7.28515625" style="91" customWidth="1"/>
    <col min="4101" max="4101" width="5.140625" style="91" customWidth="1"/>
    <col min="4102" max="4102" width="2.140625" style="91" customWidth="1"/>
    <col min="4103" max="4103" width="21.5703125" style="91" customWidth="1"/>
    <col min="4104" max="4114" width="8.7109375" style="91" customWidth="1"/>
    <col min="4115" max="4352" width="9.140625" style="91"/>
    <col min="4353" max="4353" width="5.7109375" style="91" customWidth="1"/>
    <col min="4354" max="4354" width="5" style="91" customWidth="1"/>
    <col min="4355" max="4355" width="21" style="91" customWidth="1"/>
    <col min="4356" max="4356" width="7.28515625" style="91" customWidth="1"/>
    <col min="4357" max="4357" width="5.140625" style="91" customWidth="1"/>
    <col min="4358" max="4358" width="2.140625" style="91" customWidth="1"/>
    <col min="4359" max="4359" width="21.5703125" style="91" customWidth="1"/>
    <col min="4360" max="4370" width="8.7109375" style="91" customWidth="1"/>
    <col min="4371" max="4608" width="9.140625" style="91"/>
    <col min="4609" max="4609" width="5.7109375" style="91" customWidth="1"/>
    <col min="4610" max="4610" width="5" style="91" customWidth="1"/>
    <col min="4611" max="4611" width="21" style="91" customWidth="1"/>
    <col min="4612" max="4612" width="7.28515625" style="91" customWidth="1"/>
    <col min="4613" max="4613" width="5.140625" style="91" customWidth="1"/>
    <col min="4614" max="4614" width="2.140625" style="91" customWidth="1"/>
    <col min="4615" max="4615" width="21.5703125" style="91" customWidth="1"/>
    <col min="4616" max="4626" width="8.7109375" style="91" customWidth="1"/>
    <col min="4627" max="4864" width="9.140625" style="91"/>
    <col min="4865" max="4865" width="5.7109375" style="91" customWidth="1"/>
    <col min="4866" max="4866" width="5" style="91" customWidth="1"/>
    <col min="4867" max="4867" width="21" style="91" customWidth="1"/>
    <col min="4868" max="4868" width="7.28515625" style="91" customWidth="1"/>
    <col min="4869" max="4869" width="5.140625" style="91" customWidth="1"/>
    <col min="4870" max="4870" width="2.140625" style="91" customWidth="1"/>
    <col min="4871" max="4871" width="21.5703125" style="91" customWidth="1"/>
    <col min="4872" max="4882" width="8.7109375" style="91" customWidth="1"/>
    <col min="4883" max="5120" width="9.140625" style="91"/>
    <col min="5121" max="5121" width="5.7109375" style="91" customWidth="1"/>
    <col min="5122" max="5122" width="5" style="91" customWidth="1"/>
    <col min="5123" max="5123" width="21" style="91" customWidth="1"/>
    <col min="5124" max="5124" width="7.28515625" style="91" customWidth="1"/>
    <col min="5125" max="5125" width="5.140625" style="91" customWidth="1"/>
    <col min="5126" max="5126" width="2.140625" style="91" customWidth="1"/>
    <col min="5127" max="5127" width="21.5703125" style="91" customWidth="1"/>
    <col min="5128" max="5138" width="8.7109375" style="91" customWidth="1"/>
    <col min="5139" max="5376" width="9.140625" style="91"/>
    <col min="5377" max="5377" width="5.7109375" style="91" customWidth="1"/>
    <col min="5378" max="5378" width="5" style="91" customWidth="1"/>
    <col min="5379" max="5379" width="21" style="91" customWidth="1"/>
    <col min="5380" max="5380" width="7.28515625" style="91" customWidth="1"/>
    <col min="5381" max="5381" width="5.140625" style="91" customWidth="1"/>
    <col min="5382" max="5382" width="2.140625" style="91" customWidth="1"/>
    <col min="5383" max="5383" width="21.5703125" style="91" customWidth="1"/>
    <col min="5384" max="5394" width="8.7109375" style="91" customWidth="1"/>
    <col min="5395" max="5632" width="9.140625" style="91"/>
    <col min="5633" max="5633" width="5.7109375" style="91" customWidth="1"/>
    <col min="5634" max="5634" width="5" style="91" customWidth="1"/>
    <col min="5635" max="5635" width="21" style="91" customWidth="1"/>
    <col min="5636" max="5636" width="7.28515625" style="91" customWidth="1"/>
    <col min="5637" max="5637" width="5.140625" style="91" customWidth="1"/>
    <col min="5638" max="5638" width="2.140625" style="91" customWidth="1"/>
    <col min="5639" max="5639" width="21.5703125" style="91" customWidth="1"/>
    <col min="5640" max="5650" width="8.7109375" style="91" customWidth="1"/>
    <col min="5651" max="5888" width="9.140625" style="91"/>
    <col min="5889" max="5889" width="5.7109375" style="91" customWidth="1"/>
    <col min="5890" max="5890" width="5" style="91" customWidth="1"/>
    <col min="5891" max="5891" width="21" style="91" customWidth="1"/>
    <col min="5892" max="5892" width="7.28515625" style="91" customWidth="1"/>
    <col min="5893" max="5893" width="5.140625" style="91" customWidth="1"/>
    <col min="5894" max="5894" width="2.140625" style="91" customWidth="1"/>
    <col min="5895" max="5895" width="21.5703125" style="91" customWidth="1"/>
    <col min="5896" max="5906" width="8.7109375" style="91" customWidth="1"/>
    <col min="5907" max="6144" width="9.140625" style="91"/>
    <col min="6145" max="6145" width="5.7109375" style="91" customWidth="1"/>
    <col min="6146" max="6146" width="5" style="91" customWidth="1"/>
    <col min="6147" max="6147" width="21" style="91" customWidth="1"/>
    <col min="6148" max="6148" width="7.28515625" style="91" customWidth="1"/>
    <col min="6149" max="6149" width="5.140625" style="91" customWidth="1"/>
    <col min="6150" max="6150" width="2.140625" style="91" customWidth="1"/>
    <col min="6151" max="6151" width="21.5703125" style="91" customWidth="1"/>
    <col min="6152" max="6162" width="8.7109375" style="91" customWidth="1"/>
    <col min="6163" max="6400" width="9.140625" style="91"/>
    <col min="6401" max="6401" width="5.7109375" style="91" customWidth="1"/>
    <col min="6402" max="6402" width="5" style="91" customWidth="1"/>
    <col min="6403" max="6403" width="21" style="91" customWidth="1"/>
    <col min="6404" max="6404" width="7.28515625" style="91" customWidth="1"/>
    <col min="6405" max="6405" width="5.140625" style="91" customWidth="1"/>
    <col min="6406" max="6406" width="2.140625" style="91" customWidth="1"/>
    <col min="6407" max="6407" width="21.5703125" style="91" customWidth="1"/>
    <col min="6408" max="6418" width="8.7109375" style="91" customWidth="1"/>
    <col min="6419" max="6656" width="9.140625" style="91"/>
    <col min="6657" max="6657" width="5.7109375" style="91" customWidth="1"/>
    <col min="6658" max="6658" width="5" style="91" customWidth="1"/>
    <col min="6659" max="6659" width="21" style="91" customWidth="1"/>
    <col min="6660" max="6660" width="7.28515625" style="91" customWidth="1"/>
    <col min="6661" max="6661" width="5.140625" style="91" customWidth="1"/>
    <col min="6662" max="6662" width="2.140625" style="91" customWidth="1"/>
    <col min="6663" max="6663" width="21.5703125" style="91" customWidth="1"/>
    <col min="6664" max="6674" width="8.7109375" style="91" customWidth="1"/>
    <col min="6675" max="6912" width="9.140625" style="91"/>
    <col min="6913" max="6913" width="5.7109375" style="91" customWidth="1"/>
    <col min="6914" max="6914" width="5" style="91" customWidth="1"/>
    <col min="6915" max="6915" width="21" style="91" customWidth="1"/>
    <col min="6916" max="6916" width="7.28515625" style="91" customWidth="1"/>
    <col min="6917" max="6917" width="5.140625" style="91" customWidth="1"/>
    <col min="6918" max="6918" width="2.140625" style="91" customWidth="1"/>
    <col min="6919" max="6919" width="21.5703125" style="91" customWidth="1"/>
    <col min="6920" max="6930" width="8.7109375" style="91" customWidth="1"/>
    <col min="6931" max="7168" width="9.140625" style="91"/>
    <col min="7169" max="7169" width="5.7109375" style="91" customWidth="1"/>
    <col min="7170" max="7170" width="5" style="91" customWidth="1"/>
    <col min="7171" max="7171" width="21" style="91" customWidth="1"/>
    <col min="7172" max="7172" width="7.28515625" style="91" customWidth="1"/>
    <col min="7173" max="7173" width="5.140625" style="91" customWidth="1"/>
    <col min="7174" max="7174" width="2.140625" style="91" customWidth="1"/>
    <col min="7175" max="7175" width="21.5703125" style="91" customWidth="1"/>
    <col min="7176" max="7186" width="8.7109375" style="91" customWidth="1"/>
    <col min="7187" max="7424" width="9.140625" style="91"/>
    <col min="7425" max="7425" width="5.7109375" style="91" customWidth="1"/>
    <col min="7426" max="7426" width="5" style="91" customWidth="1"/>
    <col min="7427" max="7427" width="21" style="91" customWidth="1"/>
    <col min="7428" max="7428" width="7.28515625" style="91" customWidth="1"/>
    <col min="7429" max="7429" width="5.140625" style="91" customWidth="1"/>
    <col min="7430" max="7430" width="2.140625" style="91" customWidth="1"/>
    <col min="7431" max="7431" width="21.5703125" style="91" customWidth="1"/>
    <col min="7432" max="7442" width="8.7109375" style="91" customWidth="1"/>
    <col min="7443" max="7680" width="9.140625" style="91"/>
    <col min="7681" max="7681" width="5.7109375" style="91" customWidth="1"/>
    <col min="7682" max="7682" width="5" style="91" customWidth="1"/>
    <col min="7683" max="7683" width="21" style="91" customWidth="1"/>
    <col min="7684" max="7684" width="7.28515625" style="91" customWidth="1"/>
    <col min="7685" max="7685" width="5.140625" style="91" customWidth="1"/>
    <col min="7686" max="7686" width="2.140625" style="91" customWidth="1"/>
    <col min="7687" max="7687" width="21.5703125" style="91" customWidth="1"/>
    <col min="7688" max="7698" width="8.7109375" style="91" customWidth="1"/>
    <col min="7699" max="7936" width="9.140625" style="91"/>
    <col min="7937" max="7937" width="5.7109375" style="91" customWidth="1"/>
    <col min="7938" max="7938" width="5" style="91" customWidth="1"/>
    <col min="7939" max="7939" width="21" style="91" customWidth="1"/>
    <col min="7940" max="7940" width="7.28515625" style="91" customWidth="1"/>
    <col min="7941" max="7941" width="5.140625" style="91" customWidth="1"/>
    <col min="7942" max="7942" width="2.140625" style="91" customWidth="1"/>
    <col min="7943" max="7943" width="21.5703125" style="91" customWidth="1"/>
    <col min="7944" max="7954" width="8.7109375" style="91" customWidth="1"/>
    <col min="7955" max="8192" width="9.140625" style="91"/>
    <col min="8193" max="8193" width="5.7109375" style="91" customWidth="1"/>
    <col min="8194" max="8194" width="5" style="91" customWidth="1"/>
    <col min="8195" max="8195" width="21" style="91" customWidth="1"/>
    <col min="8196" max="8196" width="7.28515625" style="91" customWidth="1"/>
    <col min="8197" max="8197" width="5.140625" style="91" customWidth="1"/>
    <col min="8198" max="8198" width="2.140625" style="91" customWidth="1"/>
    <col min="8199" max="8199" width="21.5703125" style="91" customWidth="1"/>
    <col min="8200" max="8210" width="8.7109375" style="91" customWidth="1"/>
    <col min="8211" max="8448" width="9.140625" style="91"/>
    <col min="8449" max="8449" width="5.7109375" style="91" customWidth="1"/>
    <col min="8450" max="8450" width="5" style="91" customWidth="1"/>
    <col min="8451" max="8451" width="21" style="91" customWidth="1"/>
    <col min="8452" max="8452" width="7.28515625" style="91" customWidth="1"/>
    <col min="8453" max="8453" width="5.140625" style="91" customWidth="1"/>
    <col min="8454" max="8454" width="2.140625" style="91" customWidth="1"/>
    <col min="8455" max="8455" width="21.5703125" style="91" customWidth="1"/>
    <col min="8456" max="8466" width="8.7109375" style="91" customWidth="1"/>
    <col min="8467" max="8704" width="9.140625" style="91"/>
    <col min="8705" max="8705" width="5.7109375" style="91" customWidth="1"/>
    <col min="8706" max="8706" width="5" style="91" customWidth="1"/>
    <col min="8707" max="8707" width="21" style="91" customWidth="1"/>
    <col min="8708" max="8708" width="7.28515625" style="91" customWidth="1"/>
    <col min="8709" max="8709" width="5.140625" style="91" customWidth="1"/>
    <col min="8710" max="8710" width="2.140625" style="91" customWidth="1"/>
    <col min="8711" max="8711" width="21.5703125" style="91" customWidth="1"/>
    <col min="8712" max="8722" width="8.7109375" style="91" customWidth="1"/>
    <col min="8723" max="8960" width="9.140625" style="91"/>
    <col min="8961" max="8961" width="5.7109375" style="91" customWidth="1"/>
    <col min="8962" max="8962" width="5" style="91" customWidth="1"/>
    <col min="8963" max="8963" width="21" style="91" customWidth="1"/>
    <col min="8964" max="8964" width="7.28515625" style="91" customWidth="1"/>
    <col min="8965" max="8965" width="5.140625" style="91" customWidth="1"/>
    <col min="8966" max="8966" width="2.140625" style="91" customWidth="1"/>
    <col min="8967" max="8967" width="21.5703125" style="91" customWidth="1"/>
    <col min="8968" max="8978" width="8.7109375" style="91" customWidth="1"/>
    <col min="8979" max="9216" width="9.140625" style="91"/>
    <col min="9217" max="9217" width="5.7109375" style="91" customWidth="1"/>
    <col min="9218" max="9218" width="5" style="91" customWidth="1"/>
    <col min="9219" max="9219" width="21" style="91" customWidth="1"/>
    <col min="9220" max="9220" width="7.28515625" style="91" customWidth="1"/>
    <col min="9221" max="9221" width="5.140625" style="91" customWidth="1"/>
    <col min="9222" max="9222" width="2.140625" style="91" customWidth="1"/>
    <col min="9223" max="9223" width="21.5703125" style="91" customWidth="1"/>
    <col min="9224" max="9234" width="8.7109375" style="91" customWidth="1"/>
    <col min="9235" max="9472" width="9.140625" style="91"/>
    <col min="9473" max="9473" width="5.7109375" style="91" customWidth="1"/>
    <col min="9474" max="9474" width="5" style="91" customWidth="1"/>
    <col min="9475" max="9475" width="21" style="91" customWidth="1"/>
    <col min="9476" max="9476" width="7.28515625" style="91" customWidth="1"/>
    <col min="9477" max="9477" width="5.140625" style="91" customWidth="1"/>
    <col min="9478" max="9478" width="2.140625" style="91" customWidth="1"/>
    <col min="9479" max="9479" width="21.5703125" style="91" customWidth="1"/>
    <col min="9480" max="9490" width="8.7109375" style="91" customWidth="1"/>
    <col min="9491" max="9728" width="9.140625" style="91"/>
    <col min="9729" max="9729" width="5.7109375" style="91" customWidth="1"/>
    <col min="9730" max="9730" width="5" style="91" customWidth="1"/>
    <col min="9731" max="9731" width="21" style="91" customWidth="1"/>
    <col min="9732" max="9732" width="7.28515625" style="91" customWidth="1"/>
    <col min="9733" max="9733" width="5.140625" style="91" customWidth="1"/>
    <col min="9734" max="9734" width="2.140625" style="91" customWidth="1"/>
    <col min="9735" max="9735" width="21.5703125" style="91" customWidth="1"/>
    <col min="9736" max="9746" width="8.7109375" style="91" customWidth="1"/>
    <col min="9747" max="9984" width="9.140625" style="91"/>
    <col min="9985" max="9985" width="5.7109375" style="91" customWidth="1"/>
    <col min="9986" max="9986" width="5" style="91" customWidth="1"/>
    <col min="9987" max="9987" width="21" style="91" customWidth="1"/>
    <col min="9988" max="9988" width="7.28515625" style="91" customWidth="1"/>
    <col min="9989" max="9989" width="5.140625" style="91" customWidth="1"/>
    <col min="9990" max="9990" width="2.140625" style="91" customWidth="1"/>
    <col min="9991" max="9991" width="21.5703125" style="91" customWidth="1"/>
    <col min="9992" max="10002" width="8.7109375" style="91" customWidth="1"/>
    <col min="10003" max="10240" width="9.140625" style="91"/>
    <col min="10241" max="10241" width="5.7109375" style="91" customWidth="1"/>
    <col min="10242" max="10242" width="5" style="91" customWidth="1"/>
    <col min="10243" max="10243" width="21" style="91" customWidth="1"/>
    <col min="10244" max="10244" width="7.28515625" style="91" customWidth="1"/>
    <col min="10245" max="10245" width="5.140625" style="91" customWidth="1"/>
    <col min="10246" max="10246" width="2.140625" style="91" customWidth="1"/>
    <col min="10247" max="10247" width="21.5703125" style="91" customWidth="1"/>
    <col min="10248" max="10258" width="8.7109375" style="91" customWidth="1"/>
    <col min="10259" max="10496" width="9.140625" style="91"/>
    <col min="10497" max="10497" width="5.7109375" style="91" customWidth="1"/>
    <col min="10498" max="10498" width="5" style="91" customWidth="1"/>
    <col min="10499" max="10499" width="21" style="91" customWidth="1"/>
    <col min="10500" max="10500" width="7.28515625" style="91" customWidth="1"/>
    <col min="10501" max="10501" width="5.140625" style="91" customWidth="1"/>
    <col min="10502" max="10502" width="2.140625" style="91" customWidth="1"/>
    <col min="10503" max="10503" width="21.5703125" style="91" customWidth="1"/>
    <col min="10504" max="10514" width="8.7109375" style="91" customWidth="1"/>
    <col min="10515" max="10752" width="9.140625" style="91"/>
    <col min="10753" max="10753" width="5.7109375" style="91" customWidth="1"/>
    <col min="10754" max="10754" width="5" style="91" customWidth="1"/>
    <col min="10755" max="10755" width="21" style="91" customWidth="1"/>
    <col min="10756" max="10756" width="7.28515625" style="91" customWidth="1"/>
    <col min="10757" max="10757" width="5.140625" style="91" customWidth="1"/>
    <col min="10758" max="10758" width="2.140625" style="91" customWidth="1"/>
    <col min="10759" max="10759" width="21.5703125" style="91" customWidth="1"/>
    <col min="10760" max="10770" width="8.7109375" style="91" customWidth="1"/>
    <col min="10771" max="11008" width="9.140625" style="91"/>
    <col min="11009" max="11009" width="5.7109375" style="91" customWidth="1"/>
    <col min="11010" max="11010" width="5" style="91" customWidth="1"/>
    <col min="11011" max="11011" width="21" style="91" customWidth="1"/>
    <col min="11012" max="11012" width="7.28515625" style="91" customWidth="1"/>
    <col min="11013" max="11013" width="5.140625" style="91" customWidth="1"/>
    <col min="11014" max="11014" width="2.140625" style="91" customWidth="1"/>
    <col min="11015" max="11015" width="21.5703125" style="91" customWidth="1"/>
    <col min="11016" max="11026" width="8.7109375" style="91" customWidth="1"/>
    <col min="11027" max="11264" width="9.140625" style="91"/>
    <col min="11265" max="11265" width="5.7109375" style="91" customWidth="1"/>
    <col min="11266" max="11266" width="5" style="91" customWidth="1"/>
    <col min="11267" max="11267" width="21" style="91" customWidth="1"/>
    <col min="11268" max="11268" width="7.28515625" style="91" customWidth="1"/>
    <col min="11269" max="11269" width="5.140625" style="91" customWidth="1"/>
    <col min="11270" max="11270" width="2.140625" style="91" customWidth="1"/>
    <col min="11271" max="11271" width="21.5703125" style="91" customWidth="1"/>
    <col min="11272" max="11282" width="8.7109375" style="91" customWidth="1"/>
    <col min="11283" max="11520" width="9.140625" style="91"/>
    <col min="11521" max="11521" width="5.7109375" style="91" customWidth="1"/>
    <col min="11522" max="11522" width="5" style="91" customWidth="1"/>
    <col min="11523" max="11523" width="21" style="91" customWidth="1"/>
    <col min="11524" max="11524" width="7.28515625" style="91" customWidth="1"/>
    <col min="11525" max="11525" width="5.140625" style="91" customWidth="1"/>
    <col min="11526" max="11526" width="2.140625" style="91" customWidth="1"/>
    <col min="11527" max="11527" width="21.5703125" style="91" customWidth="1"/>
    <col min="11528" max="11538" width="8.7109375" style="91" customWidth="1"/>
    <col min="11539" max="11776" width="9.140625" style="91"/>
    <col min="11777" max="11777" width="5.7109375" style="91" customWidth="1"/>
    <col min="11778" max="11778" width="5" style="91" customWidth="1"/>
    <col min="11779" max="11779" width="21" style="91" customWidth="1"/>
    <col min="11780" max="11780" width="7.28515625" style="91" customWidth="1"/>
    <col min="11781" max="11781" width="5.140625" style="91" customWidth="1"/>
    <col min="11782" max="11782" width="2.140625" style="91" customWidth="1"/>
    <col min="11783" max="11783" width="21.5703125" style="91" customWidth="1"/>
    <col min="11784" max="11794" width="8.7109375" style="91" customWidth="1"/>
    <col min="11795" max="12032" width="9.140625" style="91"/>
    <col min="12033" max="12033" width="5.7109375" style="91" customWidth="1"/>
    <col min="12034" max="12034" width="5" style="91" customWidth="1"/>
    <col min="12035" max="12035" width="21" style="91" customWidth="1"/>
    <col min="12036" max="12036" width="7.28515625" style="91" customWidth="1"/>
    <col min="12037" max="12037" width="5.140625" style="91" customWidth="1"/>
    <col min="12038" max="12038" width="2.140625" style="91" customWidth="1"/>
    <col min="12039" max="12039" width="21.5703125" style="91" customWidth="1"/>
    <col min="12040" max="12050" width="8.7109375" style="91" customWidth="1"/>
    <col min="12051" max="12288" width="9.140625" style="91"/>
    <col min="12289" max="12289" width="5.7109375" style="91" customWidth="1"/>
    <col min="12290" max="12290" width="5" style="91" customWidth="1"/>
    <col min="12291" max="12291" width="21" style="91" customWidth="1"/>
    <col min="12292" max="12292" width="7.28515625" style="91" customWidth="1"/>
    <col min="12293" max="12293" width="5.140625" style="91" customWidth="1"/>
    <col min="12294" max="12294" width="2.140625" style="91" customWidth="1"/>
    <col min="12295" max="12295" width="21.5703125" style="91" customWidth="1"/>
    <col min="12296" max="12306" width="8.7109375" style="91" customWidth="1"/>
    <col min="12307" max="12544" width="9.140625" style="91"/>
    <col min="12545" max="12545" width="5.7109375" style="91" customWidth="1"/>
    <col min="12546" max="12546" width="5" style="91" customWidth="1"/>
    <col min="12547" max="12547" width="21" style="91" customWidth="1"/>
    <col min="12548" max="12548" width="7.28515625" style="91" customWidth="1"/>
    <col min="12549" max="12549" width="5.140625" style="91" customWidth="1"/>
    <col min="12550" max="12550" width="2.140625" style="91" customWidth="1"/>
    <col min="12551" max="12551" width="21.5703125" style="91" customWidth="1"/>
    <col min="12552" max="12562" width="8.7109375" style="91" customWidth="1"/>
    <col min="12563" max="12800" width="9.140625" style="91"/>
    <col min="12801" max="12801" width="5.7109375" style="91" customWidth="1"/>
    <col min="12802" max="12802" width="5" style="91" customWidth="1"/>
    <col min="12803" max="12803" width="21" style="91" customWidth="1"/>
    <col min="12804" max="12804" width="7.28515625" style="91" customWidth="1"/>
    <col min="12805" max="12805" width="5.140625" style="91" customWidth="1"/>
    <col min="12806" max="12806" width="2.140625" style="91" customWidth="1"/>
    <col min="12807" max="12807" width="21.5703125" style="91" customWidth="1"/>
    <col min="12808" max="12818" width="8.7109375" style="91" customWidth="1"/>
    <col min="12819" max="13056" width="9.140625" style="91"/>
    <col min="13057" max="13057" width="5.7109375" style="91" customWidth="1"/>
    <col min="13058" max="13058" width="5" style="91" customWidth="1"/>
    <col min="13059" max="13059" width="21" style="91" customWidth="1"/>
    <col min="13060" max="13060" width="7.28515625" style="91" customWidth="1"/>
    <col min="13061" max="13061" width="5.140625" style="91" customWidth="1"/>
    <col min="13062" max="13062" width="2.140625" style="91" customWidth="1"/>
    <col min="13063" max="13063" width="21.5703125" style="91" customWidth="1"/>
    <col min="13064" max="13074" width="8.7109375" style="91" customWidth="1"/>
    <col min="13075" max="13312" width="9.140625" style="91"/>
    <col min="13313" max="13313" width="5.7109375" style="91" customWidth="1"/>
    <col min="13314" max="13314" width="5" style="91" customWidth="1"/>
    <col min="13315" max="13315" width="21" style="91" customWidth="1"/>
    <col min="13316" max="13316" width="7.28515625" style="91" customWidth="1"/>
    <col min="13317" max="13317" width="5.140625" style="91" customWidth="1"/>
    <col min="13318" max="13318" width="2.140625" style="91" customWidth="1"/>
    <col min="13319" max="13319" width="21.5703125" style="91" customWidth="1"/>
    <col min="13320" max="13330" width="8.7109375" style="91" customWidth="1"/>
    <col min="13331" max="13568" width="9.140625" style="91"/>
    <col min="13569" max="13569" width="5.7109375" style="91" customWidth="1"/>
    <col min="13570" max="13570" width="5" style="91" customWidth="1"/>
    <col min="13571" max="13571" width="21" style="91" customWidth="1"/>
    <col min="13572" max="13572" width="7.28515625" style="91" customWidth="1"/>
    <col min="13573" max="13573" width="5.140625" style="91" customWidth="1"/>
    <col min="13574" max="13574" width="2.140625" style="91" customWidth="1"/>
    <col min="13575" max="13575" width="21.5703125" style="91" customWidth="1"/>
    <col min="13576" max="13586" width="8.7109375" style="91" customWidth="1"/>
    <col min="13587" max="13824" width="9.140625" style="91"/>
    <col min="13825" max="13825" width="5.7109375" style="91" customWidth="1"/>
    <col min="13826" max="13826" width="5" style="91" customWidth="1"/>
    <col min="13827" max="13827" width="21" style="91" customWidth="1"/>
    <col min="13828" max="13828" width="7.28515625" style="91" customWidth="1"/>
    <col min="13829" max="13829" width="5.140625" style="91" customWidth="1"/>
    <col min="13830" max="13830" width="2.140625" style="91" customWidth="1"/>
    <col min="13831" max="13831" width="21.5703125" style="91" customWidth="1"/>
    <col min="13832" max="13842" width="8.7109375" style="91" customWidth="1"/>
    <col min="13843" max="14080" width="9.140625" style="91"/>
    <col min="14081" max="14081" width="5.7109375" style="91" customWidth="1"/>
    <col min="14082" max="14082" width="5" style="91" customWidth="1"/>
    <col min="14083" max="14083" width="21" style="91" customWidth="1"/>
    <col min="14084" max="14084" width="7.28515625" style="91" customWidth="1"/>
    <col min="14085" max="14085" width="5.140625" style="91" customWidth="1"/>
    <col min="14086" max="14086" width="2.140625" style="91" customWidth="1"/>
    <col min="14087" max="14087" width="21.5703125" style="91" customWidth="1"/>
    <col min="14088" max="14098" width="8.7109375" style="91" customWidth="1"/>
    <col min="14099" max="14336" width="9.140625" style="91"/>
    <col min="14337" max="14337" width="5.7109375" style="91" customWidth="1"/>
    <col min="14338" max="14338" width="5" style="91" customWidth="1"/>
    <col min="14339" max="14339" width="21" style="91" customWidth="1"/>
    <col min="14340" max="14340" width="7.28515625" style="91" customWidth="1"/>
    <col min="14341" max="14341" width="5.140625" style="91" customWidth="1"/>
    <col min="14342" max="14342" width="2.140625" style="91" customWidth="1"/>
    <col min="14343" max="14343" width="21.5703125" style="91" customWidth="1"/>
    <col min="14344" max="14354" width="8.7109375" style="91" customWidth="1"/>
    <col min="14355" max="14592" width="9.140625" style="91"/>
    <col min="14593" max="14593" width="5.7109375" style="91" customWidth="1"/>
    <col min="14594" max="14594" width="5" style="91" customWidth="1"/>
    <col min="14595" max="14595" width="21" style="91" customWidth="1"/>
    <col min="14596" max="14596" width="7.28515625" style="91" customWidth="1"/>
    <col min="14597" max="14597" width="5.140625" style="91" customWidth="1"/>
    <col min="14598" max="14598" width="2.140625" style="91" customWidth="1"/>
    <col min="14599" max="14599" width="21.5703125" style="91" customWidth="1"/>
    <col min="14600" max="14610" width="8.7109375" style="91" customWidth="1"/>
    <col min="14611" max="14848" width="9.140625" style="91"/>
    <col min="14849" max="14849" width="5.7109375" style="91" customWidth="1"/>
    <col min="14850" max="14850" width="5" style="91" customWidth="1"/>
    <col min="14851" max="14851" width="21" style="91" customWidth="1"/>
    <col min="14852" max="14852" width="7.28515625" style="91" customWidth="1"/>
    <col min="14853" max="14853" width="5.140625" style="91" customWidth="1"/>
    <col min="14854" max="14854" width="2.140625" style="91" customWidth="1"/>
    <col min="14855" max="14855" width="21.5703125" style="91" customWidth="1"/>
    <col min="14856" max="14866" width="8.7109375" style="91" customWidth="1"/>
    <col min="14867" max="15104" width="9.140625" style="91"/>
    <col min="15105" max="15105" width="5.7109375" style="91" customWidth="1"/>
    <col min="15106" max="15106" width="5" style="91" customWidth="1"/>
    <col min="15107" max="15107" width="21" style="91" customWidth="1"/>
    <col min="15108" max="15108" width="7.28515625" style="91" customWidth="1"/>
    <col min="15109" max="15109" width="5.140625" style="91" customWidth="1"/>
    <col min="15110" max="15110" width="2.140625" style="91" customWidth="1"/>
    <col min="15111" max="15111" width="21.5703125" style="91" customWidth="1"/>
    <col min="15112" max="15122" width="8.7109375" style="91" customWidth="1"/>
    <col min="15123" max="15360" width="9.140625" style="91"/>
    <col min="15361" max="15361" width="5.7109375" style="91" customWidth="1"/>
    <col min="15362" max="15362" width="5" style="91" customWidth="1"/>
    <col min="15363" max="15363" width="21" style="91" customWidth="1"/>
    <col min="15364" max="15364" width="7.28515625" style="91" customWidth="1"/>
    <col min="15365" max="15365" width="5.140625" style="91" customWidth="1"/>
    <col min="15366" max="15366" width="2.140625" style="91" customWidth="1"/>
    <col min="15367" max="15367" width="21.5703125" style="91" customWidth="1"/>
    <col min="15368" max="15378" width="8.7109375" style="91" customWidth="1"/>
    <col min="15379" max="15616" width="9.140625" style="91"/>
    <col min="15617" max="15617" width="5.7109375" style="91" customWidth="1"/>
    <col min="15618" max="15618" width="5" style="91" customWidth="1"/>
    <col min="15619" max="15619" width="21" style="91" customWidth="1"/>
    <col min="15620" max="15620" width="7.28515625" style="91" customWidth="1"/>
    <col min="15621" max="15621" width="5.140625" style="91" customWidth="1"/>
    <col min="15622" max="15622" width="2.140625" style="91" customWidth="1"/>
    <col min="15623" max="15623" width="21.5703125" style="91" customWidth="1"/>
    <col min="15624" max="15634" width="8.7109375" style="91" customWidth="1"/>
    <col min="15635" max="15872" width="9.140625" style="91"/>
    <col min="15873" max="15873" width="5.7109375" style="91" customWidth="1"/>
    <col min="15874" max="15874" width="5" style="91" customWidth="1"/>
    <col min="15875" max="15875" width="21" style="91" customWidth="1"/>
    <col min="15876" max="15876" width="7.28515625" style="91" customWidth="1"/>
    <col min="15877" max="15877" width="5.140625" style="91" customWidth="1"/>
    <col min="15878" max="15878" width="2.140625" style="91" customWidth="1"/>
    <col min="15879" max="15879" width="21.5703125" style="91" customWidth="1"/>
    <col min="15880" max="15890" width="8.7109375" style="91" customWidth="1"/>
    <col min="15891" max="16128" width="9.140625" style="91"/>
    <col min="16129" max="16129" width="5.7109375" style="91" customWidth="1"/>
    <col min="16130" max="16130" width="5" style="91" customWidth="1"/>
    <col min="16131" max="16131" width="21" style="91" customWidth="1"/>
    <col min="16132" max="16132" width="7.28515625" style="91" customWidth="1"/>
    <col min="16133" max="16133" width="5.140625" style="91" customWidth="1"/>
    <col min="16134" max="16134" width="2.140625" style="91" customWidth="1"/>
    <col min="16135" max="16135" width="21.5703125" style="91" customWidth="1"/>
    <col min="16136" max="16146" width="8.7109375" style="91" customWidth="1"/>
    <col min="16147" max="16384" width="9.140625" style="91"/>
  </cols>
  <sheetData>
    <row r="1" spans="1:18" x14ac:dyDescent="0.2">
      <c r="A1" s="88"/>
      <c r="C1" s="90"/>
      <c r="D1" s="90"/>
      <c r="E1" s="88"/>
      <c r="F1" s="88"/>
      <c r="G1" s="91"/>
    </row>
    <row r="2" spans="1:18" x14ac:dyDescent="0.2">
      <c r="A2" s="90" t="s">
        <v>0</v>
      </c>
      <c r="B2" s="92" t="s">
        <v>1</v>
      </c>
      <c r="C2" s="90" t="s">
        <v>2</v>
      </c>
      <c r="D2" s="90"/>
      <c r="E2" s="88" t="s">
        <v>3</v>
      </c>
      <c r="F2" s="88"/>
      <c r="G2" s="954" t="s">
        <v>494</v>
      </c>
      <c r="H2" s="565" t="s">
        <v>495</v>
      </c>
      <c r="I2" s="566"/>
      <c r="J2" s="566"/>
      <c r="K2" s="1187" t="s">
        <v>6</v>
      </c>
      <c r="L2" s="1187"/>
      <c r="M2" s="1188" t="s">
        <v>496</v>
      </c>
      <c r="N2" s="1188"/>
      <c r="O2" s="1188"/>
      <c r="P2" s="1188"/>
      <c r="Q2" s="1188"/>
      <c r="R2" s="1188"/>
    </row>
    <row r="3" spans="1:18" x14ac:dyDescent="0.2">
      <c r="A3" s="88"/>
      <c r="B3" s="97"/>
      <c r="C3" s="90"/>
      <c r="D3" s="90"/>
      <c r="E3" s="88"/>
      <c r="F3" s="88"/>
      <c r="G3" s="98" t="s">
        <v>7</v>
      </c>
      <c r="H3" s="955">
        <v>40908</v>
      </c>
      <c r="I3" s="955">
        <v>41274</v>
      </c>
      <c r="J3" s="955">
        <v>41639</v>
      </c>
      <c r="K3" s="955">
        <v>42004</v>
      </c>
      <c r="L3" s="99">
        <v>42369</v>
      </c>
      <c r="M3" s="99">
        <v>42735</v>
      </c>
      <c r="N3" s="99">
        <v>43100</v>
      </c>
      <c r="O3" s="99">
        <v>43465</v>
      </c>
      <c r="P3" s="99">
        <v>43830</v>
      </c>
      <c r="Q3" s="99">
        <v>44196</v>
      </c>
      <c r="R3" s="99">
        <v>44561</v>
      </c>
    </row>
    <row r="4" spans="1:18" x14ac:dyDescent="0.2">
      <c r="A4" s="100"/>
      <c r="B4" s="89" t="s">
        <v>8</v>
      </c>
      <c r="C4" s="90">
        <v>1</v>
      </c>
      <c r="D4" s="90"/>
      <c r="E4" s="92"/>
      <c r="F4" s="100"/>
      <c r="G4" s="571" t="s">
        <v>9</v>
      </c>
      <c r="H4" s="102">
        <f t="shared" ref="H4:R4" si="0">H5+H10</f>
        <v>0</v>
      </c>
      <c r="I4" s="102">
        <f t="shared" si="0"/>
        <v>0</v>
      </c>
      <c r="J4" s="102">
        <f t="shared" si="0"/>
        <v>0</v>
      </c>
      <c r="K4" s="102">
        <f t="shared" si="0"/>
        <v>216.09800000000001</v>
      </c>
      <c r="L4" s="102">
        <f t="shared" si="0"/>
        <v>271.505</v>
      </c>
      <c r="M4" s="102">
        <f t="shared" si="0"/>
        <v>265</v>
      </c>
      <c r="N4" s="102">
        <f t="shared" si="0"/>
        <v>229</v>
      </c>
      <c r="O4" s="102">
        <f t="shared" si="0"/>
        <v>198</v>
      </c>
      <c r="P4" s="102">
        <f t="shared" si="0"/>
        <v>149</v>
      </c>
      <c r="Q4" s="102">
        <f t="shared" si="0"/>
        <v>119</v>
      </c>
      <c r="R4" s="102">
        <f t="shared" si="0"/>
        <v>88</v>
      </c>
    </row>
    <row r="5" spans="1:18" x14ac:dyDescent="0.2">
      <c r="B5" s="89" t="s">
        <v>10</v>
      </c>
      <c r="C5" s="90">
        <v>10</v>
      </c>
      <c r="D5" s="90"/>
      <c r="G5" s="105" t="s">
        <v>11</v>
      </c>
      <c r="H5" s="102">
        <f t="shared" ref="H5:Q5" si="1">SUM(H6:H9)</f>
        <v>0</v>
      </c>
      <c r="I5" s="102">
        <f t="shared" si="1"/>
        <v>0</v>
      </c>
      <c r="J5" s="102">
        <f t="shared" si="1"/>
        <v>0</v>
      </c>
      <c r="K5" s="102">
        <f t="shared" si="1"/>
        <v>18.199000000000002</v>
      </c>
      <c r="L5" s="102">
        <f t="shared" si="1"/>
        <v>83.010999999999996</v>
      </c>
      <c r="M5" s="102">
        <f t="shared" si="1"/>
        <v>34</v>
      </c>
      <c r="N5" s="102">
        <f t="shared" si="1"/>
        <v>28</v>
      </c>
      <c r="O5" s="102">
        <f t="shared" si="1"/>
        <v>28</v>
      </c>
      <c r="P5" s="102">
        <f t="shared" si="1"/>
        <v>10</v>
      </c>
      <c r="Q5" s="102">
        <f t="shared" si="1"/>
        <v>11</v>
      </c>
      <c r="R5" s="102">
        <f>SUM(R6:R9)</f>
        <v>11</v>
      </c>
    </row>
    <row r="6" spans="1:18" ht="12" x14ac:dyDescent="0.2">
      <c r="B6" s="89" t="s">
        <v>12</v>
      </c>
      <c r="C6" s="106" t="s">
        <v>13</v>
      </c>
      <c r="E6" s="107" t="s">
        <v>14</v>
      </c>
      <c r="G6" s="105" t="s">
        <v>15</v>
      </c>
      <c r="H6" s="108">
        <v>0</v>
      </c>
      <c r="I6" s="108">
        <v>0</v>
      </c>
      <c r="J6" s="108">
        <v>0</v>
      </c>
      <c r="K6" s="108">
        <v>17.896000000000001</v>
      </c>
      <c r="L6" s="108">
        <v>82.295000000000002</v>
      </c>
      <c r="M6" s="108">
        <v>33</v>
      </c>
      <c r="N6" s="108">
        <v>28</v>
      </c>
      <c r="O6" s="108">
        <v>28</v>
      </c>
      <c r="P6" s="108">
        <v>9</v>
      </c>
      <c r="Q6" s="108">
        <v>10</v>
      </c>
      <c r="R6" s="108">
        <v>11</v>
      </c>
    </row>
    <row r="7" spans="1:18" ht="12" x14ac:dyDescent="0.2">
      <c r="B7" s="89" t="s">
        <v>16</v>
      </c>
      <c r="C7" s="106" t="s">
        <v>17</v>
      </c>
      <c r="E7" s="107" t="s">
        <v>14</v>
      </c>
      <c r="G7" s="105" t="s">
        <v>18</v>
      </c>
      <c r="H7" s="108">
        <v>0</v>
      </c>
      <c r="I7" s="108">
        <v>0</v>
      </c>
      <c r="J7" s="108">
        <v>0</v>
      </c>
      <c r="K7" s="108">
        <v>0.30299999999999999</v>
      </c>
      <c r="L7" s="108">
        <v>0.71599999999999997</v>
      </c>
      <c r="M7" s="108">
        <v>1</v>
      </c>
      <c r="N7" s="108">
        <v>0</v>
      </c>
      <c r="O7" s="108">
        <v>0</v>
      </c>
      <c r="P7" s="108">
        <v>1</v>
      </c>
      <c r="Q7" s="108">
        <v>1</v>
      </c>
      <c r="R7" s="108">
        <v>0</v>
      </c>
    </row>
    <row r="8" spans="1:18" ht="12" x14ac:dyDescent="0.2">
      <c r="B8" s="89" t="s">
        <v>19</v>
      </c>
      <c r="C8" s="106" t="s">
        <v>20</v>
      </c>
      <c r="E8" s="107" t="s">
        <v>14</v>
      </c>
      <c r="G8" s="105" t="s">
        <v>21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</row>
    <row r="9" spans="1:18" x14ac:dyDescent="0.2">
      <c r="B9" s="89" t="s">
        <v>22</v>
      </c>
      <c r="C9" s="106">
        <v>108</v>
      </c>
      <c r="E9" s="109"/>
      <c r="G9" s="105" t="s">
        <v>23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</row>
    <row r="10" spans="1:18" x14ac:dyDescent="0.2">
      <c r="A10" s="110"/>
      <c r="B10" s="89" t="s">
        <v>24</v>
      </c>
      <c r="C10" s="111">
        <v>15</v>
      </c>
      <c r="D10" s="111"/>
      <c r="E10" s="109"/>
      <c r="F10" s="110"/>
      <c r="G10" s="105" t="s">
        <v>25</v>
      </c>
      <c r="H10" s="102">
        <f>SUM(H11:H16)</f>
        <v>0</v>
      </c>
      <c r="I10" s="102">
        <f t="shared" ref="I10:R10" si="2">SUM(I11:I16)</f>
        <v>0</v>
      </c>
      <c r="J10" s="102">
        <f t="shared" si="2"/>
        <v>0</v>
      </c>
      <c r="K10" s="102">
        <f t="shared" si="2"/>
        <v>197.899</v>
      </c>
      <c r="L10" s="102">
        <f t="shared" si="2"/>
        <v>188.494</v>
      </c>
      <c r="M10" s="102">
        <f t="shared" si="2"/>
        <v>231</v>
      </c>
      <c r="N10" s="102">
        <f t="shared" si="2"/>
        <v>201</v>
      </c>
      <c r="O10" s="102">
        <f t="shared" si="2"/>
        <v>170</v>
      </c>
      <c r="P10" s="102">
        <f t="shared" si="2"/>
        <v>139</v>
      </c>
      <c r="Q10" s="102">
        <f t="shared" si="2"/>
        <v>108</v>
      </c>
      <c r="R10" s="102">
        <f t="shared" si="2"/>
        <v>77</v>
      </c>
    </row>
    <row r="11" spans="1:18" ht="12" x14ac:dyDescent="0.2">
      <c r="A11" s="110"/>
      <c r="B11" s="89" t="s">
        <v>26</v>
      </c>
      <c r="C11" s="111">
        <v>150</v>
      </c>
      <c r="D11" s="111"/>
      <c r="E11" s="107" t="s">
        <v>14</v>
      </c>
      <c r="F11" s="110"/>
      <c r="G11" s="105" t="s">
        <v>27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</row>
    <row r="12" spans="1:18" ht="12" x14ac:dyDescent="0.2">
      <c r="A12" s="110"/>
      <c r="B12" s="89" t="s">
        <v>28</v>
      </c>
      <c r="C12" s="111">
        <v>151</v>
      </c>
      <c r="D12" s="111"/>
      <c r="E12" s="107" t="s">
        <v>14</v>
      </c>
      <c r="F12" s="110"/>
      <c r="G12" s="105" t="s">
        <v>29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</row>
    <row r="13" spans="1:18" ht="12" x14ac:dyDescent="0.2">
      <c r="B13" s="89" t="s">
        <v>30</v>
      </c>
      <c r="C13" s="106" t="s">
        <v>31</v>
      </c>
      <c r="E13" s="107" t="s">
        <v>14</v>
      </c>
      <c r="G13" s="105" t="s">
        <v>32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</row>
    <row r="14" spans="1:18" ht="12" x14ac:dyDescent="0.2">
      <c r="B14" s="89" t="s">
        <v>33</v>
      </c>
      <c r="C14" s="106">
        <v>154</v>
      </c>
      <c r="E14" s="107" t="s">
        <v>14</v>
      </c>
      <c r="G14" s="105" t="s">
        <v>34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</row>
    <row r="15" spans="1:18" ht="12" x14ac:dyDescent="0.2">
      <c r="B15" s="89" t="s">
        <v>35</v>
      </c>
      <c r="C15" s="106" t="s">
        <v>36</v>
      </c>
      <c r="E15" s="107" t="s">
        <v>14</v>
      </c>
      <c r="G15" s="105" t="s">
        <v>37</v>
      </c>
      <c r="H15" s="108">
        <v>0</v>
      </c>
      <c r="I15" s="108">
        <v>0</v>
      </c>
      <c r="J15" s="108">
        <v>0</v>
      </c>
      <c r="K15" s="108">
        <v>197.899</v>
      </c>
      <c r="L15" s="108">
        <v>188.494</v>
      </c>
      <c r="M15" s="108">
        <v>231</v>
      </c>
      <c r="N15" s="108">
        <v>201</v>
      </c>
      <c r="O15" s="108">
        <v>170</v>
      </c>
      <c r="P15" s="108">
        <v>139</v>
      </c>
      <c r="Q15" s="108">
        <v>108</v>
      </c>
      <c r="R15" s="108">
        <v>77</v>
      </c>
    </row>
    <row r="16" spans="1:18" ht="12" x14ac:dyDescent="0.2">
      <c r="B16" s="89" t="s">
        <v>38</v>
      </c>
      <c r="C16" s="106">
        <v>157</v>
      </c>
      <c r="E16" s="107" t="s">
        <v>14</v>
      </c>
      <c r="G16" s="105" t="s">
        <v>39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</row>
    <row r="17" spans="1:19" s="116" customFormat="1" ht="12" x14ac:dyDescent="0.2">
      <c r="A17" s="112"/>
      <c r="B17" s="89" t="s">
        <v>40</v>
      </c>
      <c r="C17" s="112" t="s">
        <v>41</v>
      </c>
      <c r="D17" s="112"/>
      <c r="E17" s="107" t="s">
        <v>14</v>
      </c>
      <c r="F17" s="113"/>
      <c r="G17" s="114" t="s">
        <v>42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91"/>
    </row>
    <row r="18" spans="1:19" x14ac:dyDescent="0.2">
      <c r="B18" s="89" t="s">
        <v>43</v>
      </c>
      <c r="C18" s="106">
        <v>2</v>
      </c>
      <c r="E18" s="109"/>
      <c r="G18" s="105" t="s">
        <v>44</v>
      </c>
      <c r="H18" s="102">
        <f>H19+H27</f>
        <v>0</v>
      </c>
      <c r="I18" s="102">
        <f t="shared" ref="I18:R18" si="3">I19+I27</f>
        <v>0</v>
      </c>
      <c r="J18" s="102">
        <f t="shared" si="3"/>
        <v>0</v>
      </c>
      <c r="K18" s="102">
        <f t="shared" si="3"/>
        <v>216.09700000000001</v>
      </c>
      <c r="L18" s="102">
        <f t="shared" si="3"/>
        <v>271.505</v>
      </c>
      <c r="M18" s="102">
        <f t="shared" si="3"/>
        <v>265</v>
      </c>
      <c r="N18" s="102">
        <f t="shared" si="3"/>
        <v>229</v>
      </c>
      <c r="O18" s="102">
        <f t="shared" si="3"/>
        <v>198</v>
      </c>
      <c r="P18" s="102">
        <f t="shared" si="3"/>
        <v>149</v>
      </c>
      <c r="Q18" s="102">
        <f t="shared" si="3"/>
        <v>119</v>
      </c>
      <c r="R18" s="102">
        <f t="shared" si="3"/>
        <v>88</v>
      </c>
    </row>
    <row r="19" spans="1:19" x14ac:dyDescent="0.2">
      <c r="B19" s="89" t="s">
        <v>45</v>
      </c>
      <c r="C19" s="106" t="s">
        <v>46</v>
      </c>
      <c r="E19" s="109"/>
      <c r="G19" s="105" t="s">
        <v>47</v>
      </c>
      <c r="H19" s="102">
        <f>SUM(H21:H26)</f>
        <v>0</v>
      </c>
      <c r="I19" s="102">
        <f t="shared" ref="I19:R19" si="4">SUM(I21:I26)</f>
        <v>0</v>
      </c>
      <c r="J19" s="102">
        <f t="shared" si="4"/>
        <v>0</v>
      </c>
      <c r="K19" s="102">
        <f t="shared" si="4"/>
        <v>16.380000000000003</v>
      </c>
      <c r="L19" s="102">
        <f t="shared" si="4"/>
        <v>80.385999999999996</v>
      </c>
      <c r="M19" s="102">
        <f t="shared" si="4"/>
        <v>46</v>
      </c>
      <c r="N19" s="102">
        <f t="shared" si="4"/>
        <v>41</v>
      </c>
      <c r="O19" s="102">
        <f t="shared" si="4"/>
        <v>41</v>
      </c>
      <c r="P19" s="102">
        <f t="shared" si="4"/>
        <v>23</v>
      </c>
      <c r="Q19" s="102">
        <f t="shared" si="4"/>
        <v>24</v>
      </c>
      <c r="R19" s="102">
        <f t="shared" si="4"/>
        <v>24</v>
      </c>
    </row>
    <row r="20" spans="1:19" s="120" customFormat="1" ht="12" x14ac:dyDescent="0.2">
      <c r="A20" s="117"/>
      <c r="B20" s="89" t="s">
        <v>48</v>
      </c>
      <c r="C20" s="112" t="s">
        <v>49</v>
      </c>
      <c r="D20" s="112"/>
      <c r="E20" s="107" t="s">
        <v>14</v>
      </c>
      <c r="F20" s="117"/>
      <c r="G20" s="114" t="s">
        <v>50</v>
      </c>
      <c r="H20" s="118">
        <v>0</v>
      </c>
      <c r="I20" s="118">
        <v>0</v>
      </c>
      <c r="J20" s="118">
        <v>0</v>
      </c>
      <c r="K20" s="118">
        <v>16.38</v>
      </c>
      <c r="L20" s="118">
        <v>80.385999999999996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</row>
    <row r="21" spans="1:19" ht="12" x14ac:dyDescent="0.2">
      <c r="B21" s="89" t="s">
        <v>51</v>
      </c>
      <c r="C21" s="121" t="s">
        <v>52</v>
      </c>
      <c r="D21" s="121"/>
      <c r="E21" s="107" t="s">
        <v>14</v>
      </c>
      <c r="G21" s="105" t="s">
        <v>53</v>
      </c>
      <c r="H21" s="108">
        <v>0</v>
      </c>
      <c r="I21" s="108">
        <v>0</v>
      </c>
      <c r="J21" s="108">
        <v>0</v>
      </c>
      <c r="K21" s="108">
        <f>0.883+10.496+5.001</f>
        <v>16.380000000000003</v>
      </c>
      <c r="L21" s="108">
        <v>80.385999999999996</v>
      </c>
      <c r="M21" s="108">
        <v>46</v>
      </c>
      <c r="N21" s="108">
        <v>41</v>
      </c>
      <c r="O21" s="108">
        <v>41</v>
      </c>
      <c r="P21" s="108">
        <v>23</v>
      </c>
      <c r="Q21" s="108">
        <v>24</v>
      </c>
      <c r="R21" s="108">
        <v>24</v>
      </c>
    </row>
    <row r="22" spans="1:19" ht="12" x14ac:dyDescent="0.2">
      <c r="B22" s="89" t="s">
        <v>54</v>
      </c>
      <c r="C22" s="106" t="s">
        <v>55</v>
      </c>
      <c r="E22" s="107" t="s">
        <v>14</v>
      </c>
      <c r="G22" s="105" t="s">
        <v>56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</row>
    <row r="23" spans="1:19" ht="12" x14ac:dyDescent="0.2">
      <c r="B23" s="89" t="s">
        <v>57</v>
      </c>
      <c r="C23" s="106">
        <v>257</v>
      </c>
      <c r="E23" s="107" t="s">
        <v>14</v>
      </c>
      <c r="G23" s="105" t="s">
        <v>58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</row>
    <row r="24" spans="1:19" ht="12" x14ac:dyDescent="0.2">
      <c r="A24" s="122"/>
      <c r="B24" s="89" t="s">
        <v>59</v>
      </c>
      <c r="C24" s="106" t="s">
        <v>60</v>
      </c>
      <c r="E24" s="107" t="s">
        <v>14</v>
      </c>
      <c r="F24" s="122"/>
      <c r="G24" s="105" t="s">
        <v>61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</row>
    <row r="25" spans="1:19" ht="12" x14ac:dyDescent="0.2">
      <c r="A25" s="122"/>
      <c r="B25" s="89" t="s">
        <v>62</v>
      </c>
      <c r="C25" s="106" t="s">
        <v>63</v>
      </c>
      <c r="E25" s="107" t="s">
        <v>14</v>
      </c>
      <c r="F25" s="122"/>
      <c r="G25" s="105" t="s">
        <v>64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</row>
    <row r="26" spans="1:19" ht="12" x14ac:dyDescent="0.2">
      <c r="B26" s="89" t="s">
        <v>65</v>
      </c>
      <c r="C26" s="106">
        <v>28</v>
      </c>
      <c r="E26" s="107" t="s">
        <v>14</v>
      </c>
      <c r="G26" s="105" t="s">
        <v>66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</row>
    <row r="27" spans="1:19" x14ac:dyDescent="0.2">
      <c r="B27" s="89" t="s">
        <v>67</v>
      </c>
      <c r="C27" s="106">
        <v>29</v>
      </c>
      <c r="E27" s="109"/>
      <c r="G27" s="105" t="s">
        <v>68</v>
      </c>
      <c r="H27" s="102">
        <f>SUM(H28:H30)</f>
        <v>0</v>
      </c>
      <c r="I27" s="102">
        <f t="shared" ref="I27:R27" si="5">SUM(I28:I30)</f>
        <v>0</v>
      </c>
      <c r="J27" s="102">
        <f t="shared" si="5"/>
        <v>0</v>
      </c>
      <c r="K27" s="102">
        <f t="shared" si="5"/>
        <v>199.71700000000001</v>
      </c>
      <c r="L27" s="102">
        <f t="shared" si="5"/>
        <v>191.119</v>
      </c>
      <c r="M27" s="102">
        <f t="shared" si="5"/>
        <v>219</v>
      </c>
      <c r="N27" s="102">
        <f t="shared" si="5"/>
        <v>188</v>
      </c>
      <c r="O27" s="102">
        <f t="shared" si="5"/>
        <v>157</v>
      </c>
      <c r="P27" s="102">
        <f t="shared" si="5"/>
        <v>126</v>
      </c>
      <c r="Q27" s="102">
        <f t="shared" si="5"/>
        <v>95</v>
      </c>
      <c r="R27" s="102">
        <f t="shared" si="5"/>
        <v>64</v>
      </c>
    </row>
    <row r="28" spans="1:19" ht="12" x14ac:dyDescent="0.2">
      <c r="B28" s="89" t="s">
        <v>69</v>
      </c>
      <c r="C28" s="103" t="s">
        <v>70</v>
      </c>
      <c r="D28" s="103"/>
      <c r="E28" s="107" t="s">
        <v>14</v>
      </c>
      <c r="G28" s="105" t="s">
        <v>71</v>
      </c>
      <c r="H28" s="108">
        <v>0</v>
      </c>
      <c r="I28" s="108">
        <v>0</v>
      </c>
      <c r="J28" s="108">
        <v>0</v>
      </c>
      <c r="K28" s="108">
        <v>219.614</v>
      </c>
      <c r="L28" s="108">
        <v>219.614</v>
      </c>
      <c r="M28" s="108">
        <v>220</v>
      </c>
      <c r="N28" s="108">
        <v>220</v>
      </c>
      <c r="O28" s="108">
        <v>220</v>
      </c>
      <c r="P28" s="108">
        <v>220</v>
      </c>
      <c r="Q28" s="108">
        <v>220</v>
      </c>
      <c r="R28" s="108">
        <v>220</v>
      </c>
    </row>
    <row r="29" spans="1:19" ht="12" x14ac:dyDescent="0.2">
      <c r="B29" s="89" t="s">
        <v>72</v>
      </c>
      <c r="C29" s="106">
        <v>298</v>
      </c>
      <c r="E29" s="107" t="s">
        <v>14</v>
      </c>
      <c r="G29" s="105" t="s">
        <v>73</v>
      </c>
      <c r="H29" s="108">
        <v>0</v>
      </c>
      <c r="I29" s="108">
        <v>0</v>
      </c>
      <c r="J29" s="108">
        <v>0</v>
      </c>
      <c r="K29" s="108">
        <v>0</v>
      </c>
      <c r="L29" s="108">
        <f>K29+K30</f>
        <v>-19.896999999999998</v>
      </c>
      <c r="M29" s="108">
        <v>-29</v>
      </c>
      <c r="N29" s="108">
        <v>-1</v>
      </c>
      <c r="O29" s="108">
        <v>-32</v>
      </c>
      <c r="P29" s="108">
        <v>-63</v>
      </c>
      <c r="Q29" s="108">
        <v>-94</v>
      </c>
      <c r="R29" s="108">
        <v>-125</v>
      </c>
    </row>
    <row r="30" spans="1:19" ht="12" x14ac:dyDescent="0.2">
      <c r="B30" s="89" t="s">
        <v>74</v>
      </c>
      <c r="C30" s="106">
        <v>299</v>
      </c>
      <c r="E30" s="107" t="s">
        <v>75</v>
      </c>
      <c r="G30" s="105" t="s">
        <v>76</v>
      </c>
      <c r="H30" s="108">
        <v>0</v>
      </c>
      <c r="I30" s="108">
        <v>0</v>
      </c>
      <c r="J30" s="108">
        <v>0</v>
      </c>
      <c r="K30" s="108">
        <v>-19.896999999999998</v>
      </c>
      <c r="L30" s="108">
        <v>-8.5980000000000008</v>
      </c>
      <c r="M30" s="108">
        <v>28</v>
      </c>
      <c r="N30" s="108">
        <v>-31</v>
      </c>
      <c r="O30" s="108">
        <v>-31</v>
      </c>
      <c r="P30" s="108">
        <v>-31</v>
      </c>
      <c r="Q30" s="108">
        <v>-31</v>
      </c>
      <c r="R30" s="108">
        <v>-31</v>
      </c>
    </row>
    <row r="31" spans="1:19" s="128" customFormat="1" x14ac:dyDescent="0.2">
      <c r="A31" s="123"/>
      <c r="B31" s="97"/>
      <c r="C31" s="124"/>
      <c r="D31" s="124"/>
      <c r="E31" s="125"/>
      <c r="F31" s="123"/>
      <c r="G31" s="126" t="s">
        <v>77</v>
      </c>
      <c r="H31" s="127">
        <f t="shared" ref="H31:R31" si="6">H4-H18</f>
        <v>0</v>
      </c>
      <c r="I31" s="127">
        <f t="shared" si="6"/>
        <v>0</v>
      </c>
      <c r="J31" s="127">
        <f t="shared" si="6"/>
        <v>0</v>
      </c>
      <c r="K31" s="127">
        <f t="shared" si="6"/>
        <v>1.0000000000047748E-3</v>
      </c>
      <c r="L31" s="127">
        <f t="shared" si="6"/>
        <v>0</v>
      </c>
      <c r="M31" s="127">
        <f t="shared" si="6"/>
        <v>0</v>
      </c>
      <c r="N31" s="127">
        <f t="shared" si="6"/>
        <v>0</v>
      </c>
      <c r="O31" s="127">
        <f t="shared" si="6"/>
        <v>0</v>
      </c>
      <c r="P31" s="127">
        <f t="shared" si="6"/>
        <v>0</v>
      </c>
      <c r="Q31" s="127">
        <f t="shared" si="6"/>
        <v>0</v>
      </c>
      <c r="R31" s="127">
        <f t="shared" si="6"/>
        <v>0</v>
      </c>
      <c r="S31" s="91"/>
    </row>
    <row r="32" spans="1:19" x14ac:dyDescent="0.2">
      <c r="G32" s="98" t="s">
        <v>78</v>
      </c>
      <c r="H32" s="129">
        <v>2011</v>
      </c>
      <c r="I32" s="129">
        <f t="shared" ref="I32:R32" si="7">H32+1</f>
        <v>2012</v>
      </c>
      <c r="J32" s="129">
        <f t="shared" si="7"/>
        <v>2013</v>
      </c>
      <c r="K32" s="129">
        <f t="shared" si="7"/>
        <v>2014</v>
      </c>
      <c r="L32" s="129">
        <f t="shared" si="7"/>
        <v>2015</v>
      </c>
      <c r="M32" s="129">
        <f t="shared" si="7"/>
        <v>2016</v>
      </c>
      <c r="N32" s="129">
        <f t="shared" si="7"/>
        <v>2017</v>
      </c>
      <c r="O32" s="129">
        <f t="shared" si="7"/>
        <v>2018</v>
      </c>
      <c r="P32" s="129">
        <f t="shared" si="7"/>
        <v>2019</v>
      </c>
      <c r="Q32" s="129">
        <f t="shared" si="7"/>
        <v>2020</v>
      </c>
      <c r="R32" s="129">
        <f t="shared" si="7"/>
        <v>2021</v>
      </c>
    </row>
    <row r="33" spans="1:18" x14ac:dyDescent="0.2">
      <c r="B33" s="89" t="s">
        <v>79</v>
      </c>
      <c r="C33" s="106">
        <v>3</v>
      </c>
      <c r="G33" s="571" t="s">
        <v>80</v>
      </c>
      <c r="H33" s="102">
        <f>SUM(H34:H37)</f>
        <v>0</v>
      </c>
      <c r="I33" s="102">
        <f t="shared" ref="I33:R33" si="8">SUM(I34:I37)</f>
        <v>0</v>
      </c>
      <c r="J33" s="102">
        <f t="shared" si="8"/>
        <v>0</v>
      </c>
      <c r="K33" s="102">
        <f t="shared" si="8"/>
        <v>6.6819999999999995</v>
      </c>
      <c r="L33" s="102">
        <f t="shared" si="8"/>
        <v>187.84499999999997</v>
      </c>
      <c r="M33" s="102">
        <f t="shared" si="8"/>
        <v>277</v>
      </c>
      <c r="N33" s="102">
        <f t="shared" si="8"/>
        <v>196</v>
      </c>
      <c r="O33" s="102">
        <f t="shared" si="8"/>
        <v>196</v>
      </c>
      <c r="P33" s="102">
        <f t="shared" si="8"/>
        <v>196</v>
      </c>
      <c r="Q33" s="102">
        <f t="shared" si="8"/>
        <v>196</v>
      </c>
      <c r="R33" s="102">
        <f t="shared" si="8"/>
        <v>197</v>
      </c>
    </row>
    <row r="34" spans="1:18" ht="12" x14ac:dyDescent="0.2">
      <c r="B34" s="89" t="s">
        <v>81</v>
      </c>
      <c r="C34" s="106">
        <v>30</v>
      </c>
      <c r="E34" s="107" t="s">
        <v>14</v>
      </c>
      <c r="G34" s="105" t="s">
        <v>82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</row>
    <row r="35" spans="1:18" ht="12" x14ac:dyDescent="0.2">
      <c r="B35" s="89" t="s">
        <v>83</v>
      </c>
      <c r="C35" s="106">
        <v>32</v>
      </c>
      <c r="E35" s="107" t="s">
        <v>14</v>
      </c>
      <c r="G35" s="105" t="s">
        <v>84</v>
      </c>
      <c r="H35" s="108">
        <v>0</v>
      </c>
      <c r="I35" s="108">
        <v>0</v>
      </c>
      <c r="J35" s="108">
        <v>0</v>
      </c>
      <c r="K35" s="108">
        <v>2.8159999999999998</v>
      </c>
      <c r="L35" s="108">
        <v>28.295999999999999</v>
      </c>
      <c r="M35" s="108">
        <v>18</v>
      </c>
      <c r="N35" s="108">
        <v>24</v>
      </c>
      <c r="O35" s="108">
        <v>24</v>
      </c>
      <c r="P35" s="108">
        <v>24</v>
      </c>
      <c r="Q35" s="108">
        <v>24</v>
      </c>
      <c r="R35" s="108">
        <v>25</v>
      </c>
    </row>
    <row r="36" spans="1:18" ht="12" x14ac:dyDescent="0.2">
      <c r="A36" s="110"/>
      <c r="B36" s="89" t="s">
        <v>85</v>
      </c>
      <c r="C36" s="106">
        <v>35</v>
      </c>
      <c r="E36" s="107" t="s">
        <v>14</v>
      </c>
      <c r="F36" s="110"/>
      <c r="G36" s="105" t="s">
        <v>86</v>
      </c>
      <c r="H36" s="108">
        <v>0</v>
      </c>
      <c r="I36" s="108">
        <v>0</v>
      </c>
      <c r="J36" s="108">
        <v>0</v>
      </c>
      <c r="K36" s="108">
        <v>3.609</v>
      </c>
      <c r="L36" s="108">
        <v>159.34899999999999</v>
      </c>
      <c r="M36" s="108">
        <v>259</v>
      </c>
      <c r="N36" s="108">
        <v>172</v>
      </c>
      <c r="O36" s="108">
        <v>172</v>
      </c>
      <c r="P36" s="108">
        <v>172</v>
      </c>
      <c r="Q36" s="108">
        <v>172</v>
      </c>
      <c r="R36" s="108">
        <v>172</v>
      </c>
    </row>
    <row r="37" spans="1:18" ht="12" x14ac:dyDescent="0.2">
      <c r="B37" s="89" t="s">
        <v>87</v>
      </c>
      <c r="C37" s="106">
        <v>38</v>
      </c>
      <c r="E37" s="107" t="s">
        <v>14</v>
      </c>
      <c r="G37" s="105" t="s">
        <v>88</v>
      </c>
      <c r="H37" s="108">
        <v>0</v>
      </c>
      <c r="I37" s="108">
        <v>0</v>
      </c>
      <c r="J37" s="108">
        <v>0</v>
      </c>
      <c r="K37" s="108">
        <v>0.25700000000000001</v>
      </c>
      <c r="L37" s="108">
        <v>0.2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</row>
    <row r="38" spans="1:18" x14ac:dyDescent="0.2">
      <c r="B38" s="89" t="s">
        <v>89</v>
      </c>
      <c r="C38" s="106">
        <v>4</v>
      </c>
      <c r="E38" s="130"/>
      <c r="G38" s="105" t="s">
        <v>90</v>
      </c>
      <c r="H38" s="102">
        <f>H39+H40</f>
        <v>0</v>
      </c>
      <c r="I38" s="102">
        <f t="shared" ref="I38:R38" si="9">I39+I40</f>
        <v>0</v>
      </c>
      <c r="J38" s="102">
        <f t="shared" si="9"/>
        <v>0</v>
      </c>
      <c r="K38" s="102">
        <f t="shared" si="9"/>
        <v>0</v>
      </c>
      <c r="L38" s="102">
        <f t="shared" si="9"/>
        <v>0</v>
      </c>
      <c r="M38" s="102">
        <f t="shared" si="9"/>
        <v>0</v>
      </c>
      <c r="N38" s="102">
        <f t="shared" si="9"/>
        <v>0</v>
      </c>
      <c r="O38" s="102">
        <f t="shared" si="9"/>
        <v>0</v>
      </c>
      <c r="P38" s="102">
        <f t="shared" si="9"/>
        <v>0</v>
      </c>
      <c r="Q38" s="102">
        <f t="shared" si="9"/>
        <v>0</v>
      </c>
      <c r="R38" s="102">
        <f t="shared" si="9"/>
        <v>0</v>
      </c>
    </row>
    <row r="39" spans="1:18" ht="12" x14ac:dyDescent="0.2">
      <c r="B39" s="89" t="s">
        <v>91</v>
      </c>
      <c r="C39" s="106">
        <v>41</v>
      </c>
      <c r="E39" s="107" t="s">
        <v>92</v>
      </c>
      <c r="G39" s="105" t="s">
        <v>93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</row>
    <row r="40" spans="1:18" ht="12" x14ac:dyDescent="0.2">
      <c r="B40" s="89" t="s">
        <v>94</v>
      </c>
      <c r="C40" s="106">
        <v>45</v>
      </c>
      <c r="E40" s="107" t="s">
        <v>92</v>
      </c>
      <c r="G40" s="105" t="s">
        <v>95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</row>
    <row r="41" spans="1:18" x14ac:dyDescent="0.2">
      <c r="A41" s="110"/>
      <c r="B41" s="89" t="s">
        <v>96</v>
      </c>
      <c r="C41" s="106" t="s">
        <v>97</v>
      </c>
      <c r="E41" s="130"/>
      <c r="F41" s="110"/>
      <c r="G41" s="105" t="s">
        <v>98</v>
      </c>
      <c r="H41" s="102">
        <f>SUM(H42:H45)</f>
        <v>0</v>
      </c>
      <c r="I41" s="102">
        <f t="shared" ref="I41:R41" si="10">SUM(I42:I45)</f>
        <v>0</v>
      </c>
      <c r="J41" s="102">
        <f t="shared" si="10"/>
        <v>0</v>
      </c>
      <c r="K41" s="102">
        <f t="shared" si="10"/>
        <v>-26.321999999999999</v>
      </c>
      <c r="L41" s="102">
        <f t="shared" si="10"/>
        <v>-196.63400000000001</v>
      </c>
      <c r="M41" s="102">
        <f t="shared" si="10"/>
        <v>-249</v>
      </c>
      <c r="N41" s="102">
        <f t="shared" si="10"/>
        <v>-227</v>
      </c>
      <c r="O41" s="102">
        <f t="shared" si="10"/>
        <v>-227</v>
      </c>
      <c r="P41" s="102">
        <f t="shared" si="10"/>
        <v>-227</v>
      </c>
      <c r="Q41" s="102">
        <f t="shared" si="10"/>
        <v>-227</v>
      </c>
      <c r="R41" s="102">
        <f t="shared" si="10"/>
        <v>-228</v>
      </c>
    </row>
    <row r="42" spans="1:18" ht="12" x14ac:dyDescent="0.2">
      <c r="B42" s="89" t="s">
        <v>99</v>
      </c>
      <c r="C42" s="106">
        <v>50</v>
      </c>
      <c r="E42" s="107" t="s">
        <v>92</v>
      </c>
      <c r="G42" s="105" t="s">
        <v>100</v>
      </c>
      <c r="H42" s="108">
        <v>0</v>
      </c>
      <c r="I42" s="108">
        <v>0</v>
      </c>
      <c r="J42" s="108">
        <v>0</v>
      </c>
      <c r="K42" s="108">
        <v>-20.373999999999999</v>
      </c>
      <c r="L42" s="108">
        <v>-144.91200000000001</v>
      </c>
      <c r="M42" s="108">
        <v>-158</v>
      </c>
      <c r="N42" s="108">
        <v>-165</v>
      </c>
      <c r="O42" s="108">
        <v>-165</v>
      </c>
      <c r="P42" s="108">
        <v>-165</v>
      </c>
      <c r="Q42" s="108">
        <v>-165</v>
      </c>
      <c r="R42" s="108">
        <v>-165</v>
      </c>
    </row>
    <row r="43" spans="1:18" ht="12" x14ac:dyDescent="0.2">
      <c r="B43" s="89" t="s">
        <v>101</v>
      </c>
      <c r="C43" s="106">
        <v>55</v>
      </c>
      <c r="E43" s="107" t="s">
        <v>92</v>
      </c>
      <c r="G43" s="105" t="s">
        <v>102</v>
      </c>
      <c r="H43" s="108">
        <v>0</v>
      </c>
      <c r="I43" s="108">
        <v>0</v>
      </c>
      <c r="J43" s="108">
        <v>0</v>
      </c>
      <c r="K43" s="108">
        <v>-3.1219999999999999</v>
      </c>
      <c r="L43" s="108">
        <v>-33.652999999999999</v>
      </c>
      <c r="M43" s="108">
        <v>-43</v>
      </c>
      <c r="N43" s="108">
        <v>-26</v>
      </c>
      <c r="O43" s="108">
        <v>-26</v>
      </c>
      <c r="P43" s="108">
        <v>-26</v>
      </c>
      <c r="Q43" s="108">
        <v>-26</v>
      </c>
      <c r="R43" s="108">
        <v>-26</v>
      </c>
    </row>
    <row r="44" spans="1:18" ht="12" x14ac:dyDescent="0.2">
      <c r="A44" s="110"/>
      <c r="B44" s="89" t="s">
        <v>103</v>
      </c>
      <c r="C44" s="106">
        <v>60</v>
      </c>
      <c r="E44" s="107" t="s">
        <v>92</v>
      </c>
      <c r="F44" s="110"/>
      <c r="G44" s="105" t="s">
        <v>104</v>
      </c>
      <c r="H44" s="108">
        <v>0</v>
      </c>
      <c r="I44" s="108">
        <v>0</v>
      </c>
      <c r="J44" s="108">
        <v>0</v>
      </c>
      <c r="K44" s="108">
        <v>-0.57099999999999995</v>
      </c>
      <c r="L44" s="108">
        <v>-4.4889999999999999</v>
      </c>
      <c r="M44" s="108">
        <v>-17</v>
      </c>
      <c r="N44" s="108">
        <v>-5</v>
      </c>
      <c r="O44" s="108">
        <v>-5</v>
      </c>
      <c r="P44" s="108">
        <v>-5</v>
      </c>
      <c r="Q44" s="108">
        <v>-5</v>
      </c>
      <c r="R44" s="108">
        <v>-6</v>
      </c>
    </row>
    <row r="45" spans="1:18" ht="12" x14ac:dyDescent="0.2">
      <c r="B45" s="89" t="s">
        <v>105</v>
      </c>
      <c r="C45" s="106">
        <v>61</v>
      </c>
      <c r="E45" s="107" t="s">
        <v>92</v>
      </c>
      <c r="G45" s="105" t="s">
        <v>106</v>
      </c>
      <c r="H45" s="108">
        <v>0</v>
      </c>
      <c r="I45" s="108">
        <v>0</v>
      </c>
      <c r="J45" s="108">
        <v>0</v>
      </c>
      <c r="K45" s="108">
        <v>-2.2549999999999999</v>
      </c>
      <c r="L45" s="108">
        <v>-13.58</v>
      </c>
      <c r="M45" s="108">
        <v>-31</v>
      </c>
      <c r="N45" s="108">
        <v>-31</v>
      </c>
      <c r="O45" s="108">
        <v>-31</v>
      </c>
      <c r="P45" s="108">
        <v>-31</v>
      </c>
      <c r="Q45" s="108">
        <v>-31</v>
      </c>
      <c r="R45" s="108">
        <v>-31</v>
      </c>
    </row>
    <row r="46" spans="1:18" x14ac:dyDescent="0.2">
      <c r="B46" s="89" t="s">
        <v>107</v>
      </c>
      <c r="G46" s="105" t="s">
        <v>108</v>
      </c>
      <c r="H46" s="102">
        <f>H33+H38+H41</f>
        <v>0</v>
      </c>
      <c r="I46" s="102">
        <f t="shared" ref="I46:R46" si="11">I33+I38+I41</f>
        <v>0</v>
      </c>
      <c r="J46" s="102">
        <f t="shared" si="11"/>
        <v>0</v>
      </c>
      <c r="K46" s="102">
        <f t="shared" si="11"/>
        <v>-19.64</v>
      </c>
      <c r="L46" s="102">
        <f t="shared" si="11"/>
        <v>-8.7890000000000441</v>
      </c>
      <c r="M46" s="102">
        <f t="shared" si="11"/>
        <v>28</v>
      </c>
      <c r="N46" s="102">
        <f t="shared" si="11"/>
        <v>-31</v>
      </c>
      <c r="O46" s="102">
        <f t="shared" si="11"/>
        <v>-31</v>
      </c>
      <c r="P46" s="102">
        <v>-31</v>
      </c>
      <c r="Q46" s="102">
        <f t="shared" si="11"/>
        <v>-31</v>
      </c>
      <c r="R46" s="102">
        <f t="shared" si="11"/>
        <v>-31</v>
      </c>
    </row>
    <row r="47" spans="1:18" ht="12" x14ac:dyDescent="0.2">
      <c r="B47" s="89" t="s">
        <v>109</v>
      </c>
      <c r="C47" s="106">
        <v>65</v>
      </c>
      <c r="E47" s="107" t="s">
        <v>75</v>
      </c>
      <c r="G47" s="105" t="s">
        <v>110</v>
      </c>
      <c r="H47" s="108">
        <v>0</v>
      </c>
      <c r="I47" s="108">
        <v>0</v>
      </c>
      <c r="J47" s="108">
        <v>0</v>
      </c>
      <c r="K47" s="108">
        <v>0</v>
      </c>
      <c r="L47" s="108">
        <v>0.156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</row>
    <row r="48" spans="1:18" x14ac:dyDescent="0.2">
      <c r="B48" s="89" t="s">
        <v>111</v>
      </c>
      <c r="G48" s="105" t="s">
        <v>112</v>
      </c>
      <c r="H48" s="102">
        <f>H46+H47</f>
        <v>0</v>
      </c>
      <c r="I48" s="102">
        <f t="shared" ref="I48:R48" si="12">I46+I47</f>
        <v>0</v>
      </c>
      <c r="J48" s="102">
        <f t="shared" si="12"/>
        <v>0</v>
      </c>
      <c r="K48" s="102">
        <f t="shared" si="12"/>
        <v>-19.64</v>
      </c>
      <c r="L48" s="102">
        <f t="shared" si="12"/>
        <v>-8.6330000000000435</v>
      </c>
      <c r="M48" s="102">
        <f t="shared" si="12"/>
        <v>28</v>
      </c>
      <c r="N48" s="102">
        <f t="shared" si="12"/>
        <v>-31</v>
      </c>
      <c r="O48" s="102">
        <f t="shared" si="12"/>
        <v>-31</v>
      </c>
      <c r="P48" s="102">
        <f t="shared" si="12"/>
        <v>-31</v>
      </c>
      <c r="Q48" s="102">
        <f t="shared" si="12"/>
        <v>-31</v>
      </c>
      <c r="R48" s="102">
        <f t="shared" si="12"/>
        <v>-31</v>
      </c>
    </row>
    <row r="49" spans="1:18" ht="12" x14ac:dyDescent="0.2">
      <c r="B49" s="89" t="s">
        <v>113</v>
      </c>
      <c r="C49" s="106">
        <v>68</v>
      </c>
      <c r="E49" s="107" t="s">
        <v>92</v>
      </c>
      <c r="G49" s="105" t="s">
        <v>114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</row>
    <row r="50" spans="1:18" ht="12" x14ac:dyDescent="0.2">
      <c r="B50" s="89" t="s">
        <v>115</v>
      </c>
      <c r="C50" s="106">
        <v>69</v>
      </c>
      <c r="E50" s="107" t="s">
        <v>14</v>
      </c>
      <c r="G50" s="105" t="s">
        <v>116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</row>
    <row r="51" spans="1:18" x14ac:dyDescent="0.2">
      <c r="B51" s="89" t="s">
        <v>117</v>
      </c>
      <c r="G51" s="105" t="s">
        <v>118</v>
      </c>
      <c r="H51" s="102">
        <f>H48+H49+H50</f>
        <v>0</v>
      </c>
      <c r="I51" s="102">
        <f t="shared" ref="I51:R51" si="13">I48+I49+I50</f>
        <v>0</v>
      </c>
      <c r="J51" s="102">
        <f t="shared" si="13"/>
        <v>0</v>
      </c>
      <c r="K51" s="102">
        <f t="shared" si="13"/>
        <v>-19.64</v>
      </c>
      <c r="L51" s="102">
        <f t="shared" si="13"/>
        <v>-8.6330000000000435</v>
      </c>
      <c r="M51" s="102">
        <f t="shared" si="13"/>
        <v>28</v>
      </c>
      <c r="N51" s="102">
        <f t="shared" si="13"/>
        <v>-31</v>
      </c>
      <c r="O51" s="102">
        <f t="shared" si="13"/>
        <v>-31</v>
      </c>
      <c r="P51" s="102">
        <f t="shared" si="13"/>
        <v>-31</v>
      </c>
      <c r="Q51" s="102">
        <f t="shared" si="13"/>
        <v>-31</v>
      </c>
      <c r="R51" s="102">
        <f t="shared" si="13"/>
        <v>-31</v>
      </c>
    </row>
    <row r="52" spans="1:18" x14ac:dyDescent="0.2">
      <c r="A52" s="131"/>
      <c r="C52" s="132"/>
      <c r="D52" s="132"/>
      <c r="E52" s="133"/>
      <c r="F52" s="131"/>
      <c r="G52" s="126" t="s">
        <v>119</v>
      </c>
      <c r="H52" s="127">
        <f>H30-H51</f>
        <v>0</v>
      </c>
      <c r="I52" s="127">
        <f t="shared" ref="I52:R52" si="14">I30-I51</f>
        <v>0</v>
      </c>
      <c r="J52" s="127">
        <f t="shared" si="14"/>
        <v>0</v>
      </c>
      <c r="K52" s="127">
        <f t="shared" si="14"/>
        <v>-0.2569999999999979</v>
      </c>
      <c r="L52" s="127">
        <f t="shared" si="14"/>
        <v>3.5000000000042775E-2</v>
      </c>
      <c r="M52" s="127">
        <f t="shared" si="14"/>
        <v>0</v>
      </c>
      <c r="N52" s="127">
        <f t="shared" si="14"/>
        <v>0</v>
      </c>
      <c r="O52" s="127">
        <f t="shared" si="14"/>
        <v>0</v>
      </c>
      <c r="P52" s="127">
        <f t="shared" si="14"/>
        <v>0</v>
      </c>
      <c r="Q52" s="127">
        <f t="shared" si="14"/>
        <v>0</v>
      </c>
      <c r="R52" s="127">
        <f t="shared" si="14"/>
        <v>0</v>
      </c>
    </row>
    <row r="53" spans="1:18" x14ac:dyDescent="0.2">
      <c r="G53" s="134" t="s">
        <v>120</v>
      </c>
    </row>
    <row r="54" spans="1:18" ht="12" x14ac:dyDescent="0.2">
      <c r="C54" s="106">
        <v>90</v>
      </c>
      <c r="E54" s="107" t="s">
        <v>14</v>
      </c>
      <c r="G54" s="134" t="s">
        <v>121</v>
      </c>
      <c r="H54" s="108">
        <v>0</v>
      </c>
      <c r="I54" s="108">
        <v>0</v>
      </c>
      <c r="J54" s="108">
        <v>0</v>
      </c>
      <c r="K54" s="108">
        <v>2</v>
      </c>
      <c r="L54" s="108">
        <v>11</v>
      </c>
      <c r="M54" s="108">
        <v>11</v>
      </c>
      <c r="N54" s="108">
        <v>11</v>
      </c>
      <c r="O54" s="108">
        <v>11</v>
      </c>
      <c r="P54" s="108">
        <v>11</v>
      </c>
      <c r="Q54" s="108">
        <v>11</v>
      </c>
      <c r="R54" s="108">
        <v>11</v>
      </c>
    </row>
    <row r="55" spans="1:18" ht="12" x14ac:dyDescent="0.2">
      <c r="E55" s="107" t="s">
        <v>14</v>
      </c>
      <c r="G55" s="134" t="s">
        <v>122</v>
      </c>
      <c r="H55" s="108"/>
      <c r="I55" s="108"/>
      <c r="J55" s="108"/>
      <c r="K55" s="108"/>
      <c r="L55" s="135"/>
      <c r="M55" s="135"/>
      <c r="N55" s="135"/>
      <c r="O55" s="135"/>
      <c r="P55" s="135"/>
      <c r="Q55" s="135"/>
      <c r="R55" s="135"/>
    </row>
    <row r="57" spans="1:18" x14ac:dyDescent="0.2">
      <c r="D57" s="136" t="s">
        <v>123</v>
      </c>
      <c r="E57" s="137" t="s">
        <v>3</v>
      </c>
      <c r="F57" s="104"/>
      <c r="G57" s="98" t="s">
        <v>124</v>
      </c>
      <c r="H57" s="129">
        <f>H32</f>
        <v>2011</v>
      </c>
      <c r="I57" s="129">
        <f t="shared" ref="I57:R57" si="15">I32</f>
        <v>2012</v>
      </c>
      <c r="J57" s="129">
        <f t="shared" si="15"/>
        <v>2013</v>
      </c>
      <c r="K57" s="129">
        <f t="shared" si="15"/>
        <v>2014</v>
      </c>
      <c r="L57" s="129">
        <f t="shared" si="15"/>
        <v>2015</v>
      </c>
      <c r="M57" s="129">
        <f t="shared" si="15"/>
        <v>2016</v>
      </c>
      <c r="N57" s="129">
        <f t="shared" si="15"/>
        <v>2017</v>
      </c>
      <c r="O57" s="129">
        <f t="shared" si="15"/>
        <v>2018</v>
      </c>
      <c r="P57" s="129">
        <f t="shared" si="15"/>
        <v>2019</v>
      </c>
      <c r="Q57" s="129">
        <f t="shared" si="15"/>
        <v>2020</v>
      </c>
      <c r="R57" s="129">
        <f t="shared" si="15"/>
        <v>2021</v>
      </c>
    </row>
    <row r="58" spans="1:18" ht="11.25" customHeight="1" x14ac:dyDescent="0.2">
      <c r="B58" s="138" t="s">
        <v>125</v>
      </c>
      <c r="C58" s="103" t="s">
        <v>126</v>
      </c>
      <c r="D58" s="139" t="s">
        <v>127</v>
      </c>
      <c r="E58" s="107" t="s">
        <v>92</v>
      </c>
      <c r="F58" s="109"/>
      <c r="G58" s="571" t="s">
        <v>128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-95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</row>
    <row r="59" spans="1:18" ht="12" x14ac:dyDescent="0.2">
      <c r="B59" s="138" t="s">
        <v>129</v>
      </c>
      <c r="C59" s="140" t="s">
        <v>130</v>
      </c>
      <c r="D59" s="139" t="s">
        <v>131</v>
      </c>
      <c r="E59" s="107" t="s">
        <v>14</v>
      </c>
      <c r="F59" s="109"/>
      <c r="G59" s="141" t="s">
        <v>132</v>
      </c>
      <c r="H59" s="108">
        <v>0</v>
      </c>
      <c r="I59" s="108">
        <v>0</v>
      </c>
      <c r="J59" s="108">
        <v>0.377</v>
      </c>
      <c r="K59" s="108">
        <v>0</v>
      </c>
      <c r="L59" s="108">
        <v>0.2</v>
      </c>
      <c r="M59" s="108">
        <v>0.377</v>
      </c>
      <c r="N59" s="108">
        <v>0.377</v>
      </c>
      <c r="O59" s="108">
        <v>0.377</v>
      </c>
      <c r="P59" s="108">
        <v>0.377</v>
      </c>
      <c r="Q59" s="108">
        <v>0.377</v>
      </c>
      <c r="R59" s="108">
        <v>0.377</v>
      </c>
    </row>
    <row r="60" spans="1:18" ht="12" x14ac:dyDescent="0.2">
      <c r="B60" s="138" t="s">
        <v>133</v>
      </c>
      <c r="C60" s="103" t="s">
        <v>134</v>
      </c>
      <c r="D60" s="139" t="s">
        <v>135</v>
      </c>
      <c r="E60" s="107" t="s">
        <v>14</v>
      </c>
      <c r="F60" s="109"/>
      <c r="G60" s="105" t="s">
        <v>136</v>
      </c>
      <c r="H60" s="108">
        <v>0</v>
      </c>
      <c r="I60" s="108">
        <v>0</v>
      </c>
      <c r="J60" s="108">
        <v>0</v>
      </c>
      <c r="K60" s="108">
        <v>0</v>
      </c>
      <c r="L60" s="108">
        <v>60</v>
      </c>
      <c r="M60" s="108">
        <v>40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</row>
    <row r="61" spans="1:18" ht="12" x14ac:dyDescent="0.2">
      <c r="B61" s="138" t="s">
        <v>137</v>
      </c>
      <c r="C61" s="103" t="s">
        <v>138</v>
      </c>
      <c r="D61" s="103" t="s">
        <v>139</v>
      </c>
      <c r="E61" s="107" t="s">
        <v>92</v>
      </c>
      <c r="F61" s="109"/>
      <c r="G61" s="105" t="s">
        <v>140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</row>
    <row r="62" spans="1:18" ht="12" x14ac:dyDescent="0.2">
      <c r="B62" s="138" t="s">
        <v>141</v>
      </c>
      <c r="C62" s="106">
        <v>253800</v>
      </c>
      <c r="D62" s="103" t="s">
        <v>135</v>
      </c>
      <c r="E62" s="107" t="s">
        <v>14</v>
      </c>
      <c r="F62" s="109"/>
      <c r="G62" s="105" t="s">
        <v>142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</row>
    <row r="63" spans="1:18" ht="12" x14ac:dyDescent="0.2">
      <c r="B63" s="138" t="s">
        <v>143</v>
      </c>
      <c r="C63" s="106">
        <v>150</v>
      </c>
      <c r="D63" s="103" t="s">
        <v>139</v>
      </c>
      <c r="E63" s="107" t="s">
        <v>92</v>
      </c>
      <c r="F63" s="109"/>
      <c r="G63" s="105" t="s">
        <v>144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</row>
    <row r="64" spans="1:18" ht="12" x14ac:dyDescent="0.2">
      <c r="B64" s="138" t="s">
        <v>145</v>
      </c>
      <c r="C64" s="103" t="s">
        <v>146</v>
      </c>
      <c r="D64" s="103" t="s">
        <v>135</v>
      </c>
      <c r="E64" s="107" t="s">
        <v>14</v>
      </c>
      <c r="F64" s="109"/>
      <c r="G64" s="105" t="s">
        <v>147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</row>
    <row r="65" spans="2:18" ht="12" x14ac:dyDescent="0.2">
      <c r="B65" s="138" t="s">
        <v>148</v>
      </c>
      <c r="C65" s="103" t="s">
        <v>149</v>
      </c>
      <c r="D65" s="103" t="s">
        <v>139</v>
      </c>
      <c r="E65" s="107" t="s">
        <v>92</v>
      </c>
      <c r="F65" s="109"/>
      <c r="G65" s="105" t="s">
        <v>150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</row>
    <row r="66" spans="2:18" ht="12" x14ac:dyDescent="0.2">
      <c r="B66" s="138" t="s">
        <v>151</v>
      </c>
      <c r="C66" s="103" t="s">
        <v>149</v>
      </c>
      <c r="D66" s="103" t="s">
        <v>135</v>
      </c>
      <c r="E66" s="107" t="s">
        <v>14</v>
      </c>
      <c r="F66" s="109"/>
      <c r="G66" s="105" t="s">
        <v>152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</row>
    <row r="67" spans="2:18" ht="12" x14ac:dyDescent="0.2">
      <c r="B67" s="138" t="s">
        <v>153</v>
      </c>
      <c r="C67" s="103" t="s">
        <v>154</v>
      </c>
      <c r="D67" s="103" t="s">
        <v>139</v>
      </c>
      <c r="E67" s="107" t="s">
        <v>92</v>
      </c>
      <c r="F67" s="109"/>
      <c r="G67" s="105" t="s">
        <v>155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</row>
    <row r="68" spans="2:18" ht="12" x14ac:dyDescent="0.2">
      <c r="B68" s="138" t="s">
        <v>156</v>
      </c>
      <c r="C68" s="103" t="s">
        <v>154</v>
      </c>
      <c r="D68" s="103" t="s">
        <v>135</v>
      </c>
      <c r="E68" s="107" t="s">
        <v>14</v>
      </c>
      <c r="F68" s="109"/>
      <c r="G68" s="105" t="s">
        <v>157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</row>
    <row r="69" spans="2:18" ht="12" x14ac:dyDescent="0.2">
      <c r="B69" s="138" t="s">
        <v>158</v>
      </c>
      <c r="C69" s="103" t="s">
        <v>146</v>
      </c>
      <c r="D69" s="103" t="s">
        <v>135</v>
      </c>
      <c r="E69" s="107" t="s">
        <v>14</v>
      </c>
      <c r="F69" s="109"/>
      <c r="G69" s="105" t="s">
        <v>159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</row>
    <row r="70" spans="2:18" ht="12" x14ac:dyDescent="0.2">
      <c r="B70" s="138" t="s">
        <v>160</v>
      </c>
      <c r="C70" s="121" t="s">
        <v>161</v>
      </c>
      <c r="D70" s="103"/>
      <c r="E70" s="107" t="s">
        <v>75</v>
      </c>
      <c r="F70" s="109"/>
      <c r="G70" s="105" t="s">
        <v>110</v>
      </c>
      <c r="H70" s="108">
        <v>5.0999999999999997E-2</v>
      </c>
      <c r="I70" s="108">
        <v>0</v>
      </c>
      <c r="J70" s="108">
        <v>-1E-3</v>
      </c>
      <c r="K70" s="108">
        <v>0</v>
      </c>
      <c r="L70" s="108">
        <v>0.09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</row>
    <row r="71" spans="2:18" x14ac:dyDescent="0.2">
      <c r="B71" s="138" t="s">
        <v>162</v>
      </c>
      <c r="D71" s="103"/>
      <c r="E71" s="109"/>
      <c r="F71" s="109"/>
      <c r="G71" s="93" t="s">
        <v>163</v>
      </c>
      <c r="H71" s="102">
        <f t="shared" ref="H71:R71" si="16">SUM(H58:H70)</f>
        <v>5.0999999999999997E-2</v>
      </c>
      <c r="I71" s="102">
        <f t="shared" si="16"/>
        <v>0</v>
      </c>
      <c r="J71" s="102">
        <f t="shared" si="16"/>
        <v>0.376</v>
      </c>
      <c r="K71" s="102">
        <f t="shared" si="16"/>
        <v>0</v>
      </c>
      <c r="L71" s="102">
        <f t="shared" si="16"/>
        <v>60.290000000000006</v>
      </c>
      <c r="M71" s="102">
        <f t="shared" si="16"/>
        <v>-54.623000000000005</v>
      </c>
      <c r="N71" s="102">
        <f t="shared" si="16"/>
        <v>0.377</v>
      </c>
      <c r="O71" s="102">
        <f t="shared" si="16"/>
        <v>0.377</v>
      </c>
      <c r="P71" s="102">
        <f t="shared" si="16"/>
        <v>0.377</v>
      </c>
      <c r="Q71" s="102">
        <f t="shared" si="16"/>
        <v>0.377</v>
      </c>
      <c r="R71" s="102">
        <f t="shared" si="16"/>
        <v>0.377</v>
      </c>
    </row>
    <row r="72" spans="2:18" x14ac:dyDescent="0.2">
      <c r="D72" s="103"/>
    </row>
    <row r="73" spans="2:18" x14ac:dyDescent="0.2">
      <c r="D73" s="136" t="s">
        <v>123</v>
      </c>
      <c r="E73" s="137" t="s">
        <v>3</v>
      </c>
      <c r="F73" s="104"/>
      <c r="G73" s="98" t="s">
        <v>164</v>
      </c>
      <c r="H73" s="129">
        <f t="shared" ref="H73:R73" si="17">H57</f>
        <v>2011</v>
      </c>
      <c r="I73" s="129">
        <f t="shared" si="17"/>
        <v>2012</v>
      </c>
      <c r="J73" s="129">
        <f t="shared" si="17"/>
        <v>2013</v>
      </c>
      <c r="K73" s="129">
        <f t="shared" si="17"/>
        <v>2014</v>
      </c>
      <c r="L73" s="129">
        <f t="shared" si="17"/>
        <v>2015</v>
      </c>
      <c r="M73" s="129">
        <f t="shared" si="17"/>
        <v>2016</v>
      </c>
      <c r="N73" s="129">
        <f t="shared" si="17"/>
        <v>2017</v>
      </c>
      <c r="O73" s="129">
        <f t="shared" si="17"/>
        <v>2018</v>
      </c>
      <c r="P73" s="129">
        <f t="shared" si="17"/>
        <v>2019</v>
      </c>
      <c r="Q73" s="129">
        <f t="shared" si="17"/>
        <v>2020</v>
      </c>
      <c r="R73" s="129">
        <f t="shared" si="17"/>
        <v>2021</v>
      </c>
    </row>
    <row r="74" spans="2:18" ht="12" x14ac:dyDescent="0.2">
      <c r="B74" s="89" t="s">
        <v>165</v>
      </c>
      <c r="C74" s="103" t="s">
        <v>166</v>
      </c>
      <c r="D74" s="103" t="s">
        <v>131</v>
      </c>
      <c r="E74" s="107" t="s">
        <v>14</v>
      </c>
      <c r="G74" s="571" t="s">
        <v>167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</row>
    <row r="75" spans="2:18" ht="12" x14ac:dyDescent="0.2">
      <c r="B75" s="89" t="s">
        <v>168</v>
      </c>
      <c r="C75" s="103" t="s">
        <v>166</v>
      </c>
      <c r="D75" s="103" t="s">
        <v>127</v>
      </c>
      <c r="E75" s="107" t="s">
        <v>92</v>
      </c>
      <c r="F75" s="109"/>
      <c r="G75" s="105" t="s">
        <v>169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</row>
    <row r="76" spans="2:18" ht="12" x14ac:dyDescent="0.2">
      <c r="B76" s="89" t="s">
        <v>170</v>
      </c>
      <c r="C76" s="103" t="s">
        <v>171</v>
      </c>
      <c r="D76" s="103" t="s">
        <v>135</v>
      </c>
      <c r="E76" s="107" t="s">
        <v>14</v>
      </c>
      <c r="G76" s="105" t="s">
        <v>172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</row>
    <row r="77" spans="2:18" ht="12" x14ac:dyDescent="0.2">
      <c r="B77" s="89" t="s">
        <v>173</v>
      </c>
      <c r="C77" s="103" t="s">
        <v>171</v>
      </c>
      <c r="D77" s="103" t="s">
        <v>139</v>
      </c>
      <c r="E77" s="107" t="s">
        <v>92</v>
      </c>
      <c r="F77" s="109"/>
      <c r="G77" s="105" t="s">
        <v>174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</row>
    <row r="78" spans="2:18" ht="12" x14ac:dyDescent="0.2">
      <c r="B78" s="89" t="s">
        <v>175</v>
      </c>
      <c r="C78" s="103" t="s">
        <v>176</v>
      </c>
      <c r="D78" s="103" t="s">
        <v>139</v>
      </c>
      <c r="E78" s="107" t="s">
        <v>92</v>
      </c>
      <c r="F78" s="109"/>
      <c r="G78" s="105" t="s">
        <v>177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</row>
    <row r="79" spans="2:18" ht="12" x14ac:dyDescent="0.2">
      <c r="B79" s="89" t="s">
        <v>178</v>
      </c>
      <c r="C79" s="103" t="s">
        <v>179</v>
      </c>
      <c r="D79" s="103" t="s">
        <v>139</v>
      </c>
      <c r="E79" s="107" t="s">
        <v>92</v>
      </c>
      <c r="F79" s="109"/>
      <c r="G79" s="105" t="s">
        <v>180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</row>
    <row r="80" spans="2:18" ht="12" x14ac:dyDescent="0.2">
      <c r="B80" s="89" t="s">
        <v>181</v>
      </c>
      <c r="C80" s="103" t="s">
        <v>182</v>
      </c>
      <c r="D80" s="103" t="s">
        <v>139</v>
      </c>
      <c r="E80" s="107" t="s">
        <v>92</v>
      </c>
      <c r="F80" s="109"/>
      <c r="G80" s="105" t="s">
        <v>183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</row>
    <row r="81" spans="1:18" ht="12" x14ac:dyDescent="0.2">
      <c r="B81" s="89" t="s">
        <v>184</v>
      </c>
      <c r="C81" s="103" t="s">
        <v>55</v>
      </c>
      <c r="D81" s="103" t="s">
        <v>139</v>
      </c>
      <c r="E81" s="107" t="s">
        <v>92</v>
      </c>
      <c r="F81" s="109"/>
      <c r="G81" s="105" t="s">
        <v>185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</row>
    <row r="82" spans="1:18" ht="12" x14ac:dyDescent="0.2">
      <c r="B82" s="89" t="s">
        <v>186</v>
      </c>
      <c r="C82" s="103" t="s">
        <v>187</v>
      </c>
      <c r="D82" s="103" t="s">
        <v>135</v>
      </c>
      <c r="E82" s="107" t="s">
        <v>14</v>
      </c>
      <c r="G82" s="105" t="s">
        <v>188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</row>
    <row r="83" spans="1:18" ht="12" x14ac:dyDescent="0.2">
      <c r="B83" s="89" t="s">
        <v>189</v>
      </c>
      <c r="C83" s="103" t="s">
        <v>187</v>
      </c>
      <c r="D83" s="103" t="s">
        <v>139</v>
      </c>
      <c r="E83" s="107" t="s">
        <v>92</v>
      </c>
      <c r="F83" s="109"/>
      <c r="G83" s="105" t="s">
        <v>190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0</v>
      </c>
      <c r="Q83" s="108">
        <v>0</v>
      </c>
      <c r="R83" s="108">
        <v>0</v>
      </c>
    </row>
    <row r="84" spans="1:18" ht="12" x14ac:dyDescent="0.2">
      <c r="B84" s="89" t="s">
        <v>191</v>
      </c>
      <c r="C84" s="106">
        <v>68</v>
      </c>
      <c r="D84" s="103" t="s">
        <v>139</v>
      </c>
      <c r="E84" s="107" t="s">
        <v>92</v>
      </c>
      <c r="F84" s="109"/>
      <c r="G84" s="143" t="s">
        <v>114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</row>
    <row r="85" spans="1:18" x14ac:dyDescent="0.2">
      <c r="B85" s="89" t="s">
        <v>192</v>
      </c>
      <c r="G85" s="143" t="s">
        <v>163</v>
      </c>
      <c r="H85" s="102">
        <f t="shared" ref="H85:R85" si="18">SUM(H74:H84)</f>
        <v>0</v>
      </c>
      <c r="I85" s="102">
        <f t="shared" si="18"/>
        <v>0</v>
      </c>
      <c r="J85" s="102">
        <f t="shared" si="18"/>
        <v>0</v>
      </c>
      <c r="K85" s="102">
        <f t="shared" si="18"/>
        <v>0</v>
      </c>
      <c r="L85" s="102">
        <f t="shared" si="18"/>
        <v>0</v>
      </c>
      <c r="M85" s="102">
        <f t="shared" si="18"/>
        <v>0</v>
      </c>
      <c r="N85" s="102">
        <f t="shared" si="18"/>
        <v>0</v>
      </c>
      <c r="O85" s="102">
        <f t="shared" si="18"/>
        <v>0</v>
      </c>
      <c r="P85" s="102">
        <f t="shared" si="18"/>
        <v>0</v>
      </c>
      <c r="Q85" s="102">
        <f t="shared" si="18"/>
        <v>0</v>
      </c>
      <c r="R85" s="102">
        <f t="shared" si="18"/>
        <v>0</v>
      </c>
    </row>
    <row r="87" spans="1:18" x14ac:dyDescent="0.2">
      <c r="A87" s="110" t="s">
        <v>0</v>
      </c>
      <c r="D87" s="1189" t="s">
        <v>193</v>
      </c>
      <c r="E87" s="1189"/>
      <c r="G87" s="98" t="s">
        <v>194</v>
      </c>
      <c r="H87" s="129">
        <f t="shared" ref="H87:R87" si="19">H32</f>
        <v>2011</v>
      </c>
      <c r="I87" s="129">
        <f t="shared" si="19"/>
        <v>2012</v>
      </c>
      <c r="J87" s="129">
        <f t="shared" si="19"/>
        <v>2013</v>
      </c>
      <c r="K87" s="129">
        <f t="shared" si="19"/>
        <v>2014</v>
      </c>
      <c r="L87" s="129">
        <f t="shared" si="19"/>
        <v>2015</v>
      </c>
      <c r="M87" s="129">
        <f t="shared" si="19"/>
        <v>2016</v>
      </c>
      <c r="N87" s="129">
        <f t="shared" si="19"/>
        <v>2017</v>
      </c>
      <c r="O87" s="129">
        <f t="shared" si="19"/>
        <v>2018</v>
      </c>
      <c r="P87" s="129">
        <f t="shared" si="19"/>
        <v>2019</v>
      </c>
      <c r="Q87" s="129">
        <f t="shared" si="19"/>
        <v>2020</v>
      </c>
      <c r="R87" s="129">
        <f t="shared" si="19"/>
        <v>2021</v>
      </c>
    </row>
    <row r="88" spans="1:18" x14ac:dyDescent="0.2">
      <c r="A88" s="103" t="s">
        <v>195</v>
      </c>
      <c r="B88" s="89" t="s">
        <v>196</v>
      </c>
      <c r="C88" s="103" t="s">
        <v>197</v>
      </c>
      <c r="E88" s="144"/>
      <c r="G88" s="571" t="s">
        <v>198</v>
      </c>
      <c r="H88" s="102">
        <f>H46+H71</f>
        <v>5.0999999999999997E-2</v>
      </c>
      <c r="I88" s="102">
        <f t="shared" ref="I88:R88" si="20">I46+I71</f>
        <v>0</v>
      </c>
      <c r="J88" s="102">
        <f t="shared" si="20"/>
        <v>0.376</v>
      </c>
      <c r="K88" s="102">
        <f t="shared" si="20"/>
        <v>-19.64</v>
      </c>
      <c r="L88" s="102">
        <f t="shared" si="20"/>
        <v>51.500999999999962</v>
      </c>
      <c r="M88" s="102">
        <f t="shared" si="20"/>
        <v>-26.623000000000005</v>
      </c>
      <c r="N88" s="102">
        <f t="shared" si="20"/>
        <v>-30.623000000000001</v>
      </c>
      <c r="O88" s="102">
        <f t="shared" si="20"/>
        <v>-30.623000000000001</v>
      </c>
      <c r="P88" s="102">
        <f t="shared" si="20"/>
        <v>-30.623000000000001</v>
      </c>
      <c r="Q88" s="102">
        <f t="shared" si="20"/>
        <v>-30.623000000000001</v>
      </c>
      <c r="R88" s="102">
        <f t="shared" si="20"/>
        <v>-30.623000000000001</v>
      </c>
    </row>
    <row r="89" spans="1:18" x14ac:dyDescent="0.2">
      <c r="A89" s="103" t="s">
        <v>199</v>
      </c>
      <c r="B89" s="89" t="s">
        <v>200</v>
      </c>
      <c r="C89" s="103" t="s">
        <v>201</v>
      </c>
      <c r="E89" s="144"/>
      <c r="G89" s="571" t="s">
        <v>202</v>
      </c>
      <c r="H89" s="582">
        <f t="shared" ref="H89:R89" si="21">H33+H38+H41-H45</f>
        <v>0</v>
      </c>
      <c r="I89" s="102">
        <f t="shared" si="21"/>
        <v>0</v>
      </c>
      <c r="J89" s="102">
        <f t="shared" si="21"/>
        <v>0</v>
      </c>
      <c r="K89" s="102">
        <f t="shared" si="21"/>
        <v>-17.385000000000002</v>
      </c>
      <c r="L89" s="102">
        <f t="shared" si="21"/>
        <v>4.790999999999956</v>
      </c>
      <c r="M89" s="102">
        <f t="shared" si="21"/>
        <v>59</v>
      </c>
      <c r="N89" s="102">
        <f t="shared" si="21"/>
        <v>0</v>
      </c>
      <c r="O89" s="102">
        <f t="shared" si="21"/>
        <v>0</v>
      </c>
      <c r="P89" s="102">
        <f t="shared" si="21"/>
        <v>0</v>
      </c>
      <c r="Q89" s="102">
        <f t="shared" si="21"/>
        <v>0</v>
      </c>
      <c r="R89" s="102">
        <f t="shared" si="21"/>
        <v>0</v>
      </c>
    </row>
    <row r="90" spans="1:18" x14ac:dyDescent="0.2">
      <c r="A90" s="103" t="s">
        <v>203</v>
      </c>
      <c r="B90" s="89" t="s">
        <v>204</v>
      </c>
      <c r="C90" s="103" t="s">
        <v>205</v>
      </c>
      <c r="E90" s="146">
        <v>0</v>
      </c>
      <c r="G90" s="143" t="s">
        <v>206</v>
      </c>
      <c r="H90" s="584" t="e">
        <f t="shared" ref="H90:R90" si="22">H89/H33</f>
        <v>#DIV/0!</v>
      </c>
      <c r="I90" s="956" t="e">
        <f t="shared" si="22"/>
        <v>#DIV/0!</v>
      </c>
      <c r="J90" s="956" t="e">
        <f t="shared" si="22"/>
        <v>#DIV/0!</v>
      </c>
      <c r="K90" s="956">
        <f t="shared" si="22"/>
        <v>-2.6017659383418144</v>
      </c>
      <c r="L90" s="956">
        <f t="shared" si="22"/>
        <v>2.5505070669967031E-2</v>
      </c>
      <c r="M90" s="956">
        <f t="shared" si="22"/>
        <v>0.21299638989169675</v>
      </c>
      <c r="N90" s="956">
        <f t="shared" si="22"/>
        <v>0</v>
      </c>
      <c r="O90" s="956">
        <f t="shared" si="22"/>
        <v>0</v>
      </c>
      <c r="P90" s="956">
        <f t="shared" si="22"/>
        <v>0</v>
      </c>
      <c r="Q90" s="956">
        <f t="shared" si="22"/>
        <v>0</v>
      </c>
      <c r="R90" s="956">
        <f t="shared" si="22"/>
        <v>0</v>
      </c>
    </row>
    <row r="91" spans="1:18" x14ac:dyDescent="0.2">
      <c r="A91" s="103" t="s">
        <v>207</v>
      </c>
      <c r="B91" s="89" t="s">
        <v>208</v>
      </c>
      <c r="C91" s="103" t="s">
        <v>209</v>
      </c>
      <c r="E91" s="144"/>
      <c r="G91" s="105" t="s">
        <v>210</v>
      </c>
      <c r="H91" s="149" t="e">
        <f t="shared" ref="H91:R91" si="23">-H33/(H38+H41)</f>
        <v>#DIV/0!</v>
      </c>
      <c r="I91" s="149" t="e">
        <f t="shared" si="23"/>
        <v>#DIV/0!</v>
      </c>
      <c r="J91" s="149" t="e">
        <f t="shared" si="23"/>
        <v>#DIV/0!</v>
      </c>
      <c r="K91" s="149">
        <f t="shared" si="23"/>
        <v>0.25385608996276876</v>
      </c>
      <c r="L91" s="149">
        <f t="shared" si="23"/>
        <v>0.95530274520174518</v>
      </c>
      <c r="M91" s="149">
        <f t="shared" si="23"/>
        <v>1.1124497991967872</v>
      </c>
      <c r="N91" s="149">
        <f t="shared" si="23"/>
        <v>0.86343612334801767</v>
      </c>
      <c r="O91" s="149">
        <f t="shared" si="23"/>
        <v>0.86343612334801767</v>
      </c>
      <c r="P91" s="149">
        <f t="shared" si="23"/>
        <v>0.86343612334801767</v>
      </c>
      <c r="Q91" s="149">
        <f t="shared" si="23"/>
        <v>0.86343612334801767</v>
      </c>
      <c r="R91" s="149">
        <f t="shared" si="23"/>
        <v>0.86403508771929827</v>
      </c>
    </row>
    <row r="92" spans="1:18" x14ac:dyDescent="0.2">
      <c r="A92" s="103" t="s">
        <v>211</v>
      </c>
      <c r="B92" s="89" t="s">
        <v>212</v>
      </c>
      <c r="C92" s="103" t="s">
        <v>213</v>
      </c>
      <c r="E92" s="144"/>
      <c r="G92" s="571" t="s">
        <v>214</v>
      </c>
      <c r="H92" s="582">
        <f>H46</f>
        <v>0</v>
      </c>
      <c r="I92" s="582">
        <f t="shared" ref="I92:R92" si="24">I46</f>
        <v>0</v>
      </c>
      <c r="J92" s="582">
        <f t="shared" si="24"/>
        <v>0</v>
      </c>
      <c r="K92" s="582">
        <f t="shared" si="24"/>
        <v>-19.64</v>
      </c>
      <c r="L92" s="582">
        <f t="shared" si="24"/>
        <v>-8.7890000000000441</v>
      </c>
      <c r="M92" s="582">
        <f t="shared" si="24"/>
        <v>28</v>
      </c>
      <c r="N92" s="582">
        <f t="shared" si="24"/>
        <v>-31</v>
      </c>
      <c r="O92" s="582">
        <f t="shared" si="24"/>
        <v>-31</v>
      </c>
      <c r="P92" s="582">
        <f t="shared" si="24"/>
        <v>-31</v>
      </c>
      <c r="Q92" s="582">
        <f t="shared" si="24"/>
        <v>-31</v>
      </c>
      <c r="R92" s="582">
        <f t="shared" si="24"/>
        <v>-31</v>
      </c>
    </row>
    <row r="93" spans="1:18" x14ac:dyDescent="0.2">
      <c r="A93" s="103" t="s">
        <v>215</v>
      </c>
      <c r="B93" s="89" t="s">
        <v>216</v>
      </c>
      <c r="C93" s="103" t="s">
        <v>217</v>
      </c>
      <c r="D93" s="146">
        <v>-0.3</v>
      </c>
      <c r="E93" s="146">
        <v>0</v>
      </c>
      <c r="G93" s="105" t="s">
        <v>218</v>
      </c>
      <c r="H93" s="587" t="e">
        <f>H46/H33</f>
        <v>#DIV/0!</v>
      </c>
      <c r="I93" s="151" t="e">
        <f t="shared" ref="I93:R93" si="25">I46/I33</f>
        <v>#DIV/0!</v>
      </c>
      <c r="J93" s="957" t="e">
        <f t="shared" si="25"/>
        <v>#DIV/0!</v>
      </c>
      <c r="K93" s="957">
        <f t="shared" si="25"/>
        <v>-2.9392397485782702</v>
      </c>
      <c r="L93" s="957">
        <f t="shared" si="25"/>
        <v>-4.6788575687402092E-2</v>
      </c>
      <c r="M93" s="957">
        <f t="shared" si="25"/>
        <v>0.10108303249097472</v>
      </c>
      <c r="N93" s="957">
        <f t="shared" si="25"/>
        <v>-0.15816326530612246</v>
      </c>
      <c r="O93" s="957">
        <f t="shared" si="25"/>
        <v>-0.15816326530612246</v>
      </c>
      <c r="P93" s="957">
        <f t="shared" si="25"/>
        <v>-0.15816326530612246</v>
      </c>
      <c r="Q93" s="957">
        <f t="shared" si="25"/>
        <v>-0.15816326530612246</v>
      </c>
      <c r="R93" s="957">
        <f t="shared" si="25"/>
        <v>-0.15736040609137056</v>
      </c>
    </row>
    <row r="94" spans="1:18" x14ac:dyDescent="0.2">
      <c r="A94" s="103" t="s">
        <v>219</v>
      </c>
      <c r="B94" s="89" t="s">
        <v>220</v>
      </c>
      <c r="C94" s="103" t="s">
        <v>221</v>
      </c>
      <c r="E94" s="144"/>
      <c r="G94" s="143" t="s">
        <v>222</v>
      </c>
      <c r="H94" s="582">
        <f>H29+H30</f>
        <v>0</v>
      </c>
      <c r="I94" s="582">
        <f t="shared" ref="I94:R94" si="26">I29+I30</f>
        <v>0</v>
      </c>
      <c r="J94" s="582">
        <f t="shared" si="26"/>
        <v>0</v>
      </c>
      <c r="K94" s="582">
        <f t="shared" si="26"/>
        <v>-19.896999999999998</v>
      </c>
      <c r="L94" s="582">
        <f t="shared" si="26"/>
        <v>-28.494999999999997</v>
      </c>
      <c r="M94" s="582">
        <f t="shared" si="26"/>
        <v>-1</v>
      </c>
      <c r="N94" s="582">
        <f t="shared" si="26"/>
        <v>-32</v>
      </c>
      <c r="O94" s="582">
        <f t="shared" si="26"/>
        <v>-63</v>
      </c>
      <c r="P94" s="582">
        <f t="shared" si="26"/>
        <v>-94</v>
      </c>
      <c r="Q94" s="582">
        <f t="shared" si="26"/>
        <v>-125</v>
      </c>
      <c r="R94" s="582">
        <f t="shared" si="26"/>
        <v>-156</v>
      </c>
    </row>
    <row r="95" spans="1:18" x14ac:dyDescent="0.2">
      <c r="G95" s="152" t="s">
        <v>223</v>
      </c>
      <c r="H95" s="129">
        <f t="shared" ref="H95:R95" si="27">H87</f>
        <v>2011</v>
      </c>
      <c r="I95" s="129">
        <f t="shared" si="27"/>
        <v>2012</v>
      </c>
      <c r="J95" s="129">
        <f t="shared" si="27"/>
        <v>2013</v>
      </c>
      <c r="K95" s="129">
        <f t="shared" si="27"/>
        <v>2014</v>
      </c>
      <c r="L95" s="129">
        <f t="shared" si="27"/>
        <v>2015</v>
      </c>
      <c r="M95" s="129">
        <f t="shared" si="27"/>
        <v>2016</v>
      </c>
      <c r="N95" s="129">
        <f t="shared" si="27"/>
        <v>2017</v>
      </c>
      <c r="O95" s="129">
        <f t="shared" si="27"/>
        <v>2018</v>
      </c>
      <c r="P95" s="129">
        <f t="shared" si="27"/>
        <v>2019</v>
      </c>
      <c r="Q95" s="129">
        <f t="shared" si="27"/>
        <v>2020</v>
      </c>
      <c r="R95" s="129">
        <f t="shared" si="27"/>
        <v>2021</v>
      </c>
    </row>
    <row r="96" spans="1:18" x14ac:dyDescent="0.2">
      <c r="A96" s="103" t="s">
        <v>224</v>
      </c>
      <c r="B96" s="89" t="s">
        <v>225</v>
      </c>
      <c r="C96" s="106" t="s">
        <v>226</v>
      </c>
      <c r="E96" s="144"/>
      <c r="F96" s="153"/>
      <c r="G96" s="571" t="s">
        <v>227</v>
      </c>
      <c r="H96" s="582">
        <f t="shared" ref="H96:R96" si="28">H6+H12</f>
        <v>0</v>
      </c>
      <c r="I96" s="102">
        <f t="shared" si="28"/>
        <v>0</v>
      </c>
      <c r="J96" s="102">
        <f t="shared" si="28"/>
        <v>0</v>
      </c>
      <c r="K96" s="102">
        <f t="shared" si="28"/>
        <v>17.896000000000001</v>
      </c>
      <c r="L96" s="102">
        <f t="shared" si="28"/>
        <v>82.295000000000002</v>
      </c>
      <c r="M96" s="102">
        <f t="shared" si="28"/>
        <v>33</v>
      </c>
      <c r="N96" s="102">
        <f t="shared" si="28"/>
        <v>28</v>
      </c>
      <c r="O96" s="102">
        <f t="shared" si="28"/>
        <v>28</v>
      </c>
      <c r="P96" s="102">
        <f t="shared" si="28"/>
        <v>9</v>
      </c>
      <c r="Q96" s="102">
        <f t="shared" si="28"/>
        <v>10</v>
      </c>
      <c r="R96" s="102">
        <f t="shared" si="28"/>
        <v>11</v>
      </c>
    </row>
    <row r="97" spans="1:18" x14ac:dyDescent="0.2">
      <c r="A97" s="103" t="s">
        <v>228</v>
      </c>
      <c r="B97" s="89" t="s">
        <v>229</v>
      </c>
      <c r="C97" s="103" t="s">
        <v>45</v>
      </c>
      <c r="E97" s="144"/>
      <c r="F97" s="153"/>
      <c r="G97" s="105" t="s">
        <v>230</v>
      </c>
      <c r="H97" s="582">
        <f>H19</f>
        <v>0</v>
      </c>
      <c r="I97" s="582">
        <f t="shared" ref="I97:R97" si="29">I19</f>
        <v>0</v>
      </c>
      <c r="J97" s="582">
        <f t="shared" si="29"/>
        <v>0</v>
      </c>
      <c r="K97" s="582">
        <f t="shared" si="29"/>
        <v>16.380000000000003</v>
      </c>
      <c r="L97" s="582">
        <f t="shared" si="29"/>
        <v>80.385999999999996</v>
      </c>
      <c r="M97" s="582">
        <f t="shared" si="29"/>
        <v>46</v>
      </c>
      <c r="N97" s="582">
        <f t="shared" si="29"/>
        <v>41</v>
      </c>
      <c r="O97" s="582">
        <f t="shared" si="29"/>
        <v>41</v>
      </c>
      <c r="P97" s="582">
        <f t="shared" si="29"/>
        <v>23</v>
      </c>
      <c r="Q97" s="582">
        <f t="shared" si="29"/>
        <v>24</v>
      </c>
      <c r="R97" s="582">
        <f t="shared" si="29"/>
        <v>24</v>
      </c>
    </row>
    <row r="98" spans="1:18" x14ac:dyDescent="0.2">
      <c r="A98" s="103" t="s">
        <v>231</v>
      </c>
      <c r="B98" s="89" t="s">
        <v>232</v>
      </c>
      <c r="C98" s="103" t="s">
        <v>233</v>
      </c>
      <c r="E98" s="144"/>
      <c r="F98" s="153"/>
      <c r="G98" s="105" t="s">
        <v>234</v>
      </c>
      <c r="H98" s="582">
        <f t="shared" ref="H98:R98" si="30">H97-H96</f>
        <v>0</v>
      </c>
      <c r="I98" s="102">
        <f t="shared" si="30"/>
        <v>0</v>
      </c>
      <c r="J98" s="102">
        <f t="shared" si="30"/>
        <v>0</v>
      </c>
      <c r="K98" s="102">
        <f t="shared" si="30"/>
        <v>-1.5159999999999982</v>
      </c>
      <c r="L98" s="102">
        <f t="shared" si="30"/>
        <v>-1.909000000000006</v>
      </c>
      <c r="M98" s="102">
        <f t="shared" si="30"/>
        <v>13</v>
      </c>
      <c r="N98" s="102">
        <f t="shared" si="30"/>
        <v>13</v>
      </c>
      <c r="O98" s="102">
        <f t="shared" si="30"/>
        <v>13</v>
      </c>
      <c r="P98" s="102">
        <f t="shared" si="30"/>
        <v>14</v>
      </c>
      <c r="Q98" s="102">
        <f t="shared" si="30"/>
        <v>14</v>
      </c>
      <c r="R98" s="102">
        <f t="shared" si="30"/>
        <v>13</v>
      </c>
    </row>
    <row r="99" spans="1:18" x14ac:dyDescent="0.2">
      <c r="A99" s="103" t="s">
        <v>235</v>
      </c>
      <c r="B99" s="89" t="s">
        <v>236</v>
      </c>
      <c r="C99" s="103" t="s">
        <v>237</v>
      </c>
      <c r="E99" s="146">
        <v>0.4</v>
      </c>
      <c r="F99" s="153"/>
      <c r="G99" s="105" t="s">
        <v>238</v>
      </c>
      <c r="H99" s="589" t="e">
        <f t="shared" ref="H99:R99" si="31">H98/H33</f>
        <v>#DIV/0!</v>
      </c>
      <c r="I99" s="956" t="e">
        <f t="shared" si="31"/>
        <v>#DIV/0!</v>
      </c>
      <c r="J99" s="956" t="e">
        <f t="shared" si="31"/>
        <v>#DIV/0!</v>
      </c>
      <c r="K99" s="956">
        <f t="shared" si="31"/>
        <v>-0.22687818018557293</v>
      </c>
      <c r="L99" s="956">
        <f t="shared" si="31"/>
        <v>-1.0162634086613997E-2</v>
      </c>
      <c r="M99" s="956">
        <f t="shared" si="31"/>
        <v>4.6931407942238268E-2</v>
      </c>
      <c r="N99" s="956">
        <f t="shared" si="31"/>
        <v>6.6326530612244902E-2</v>
      </c>
      <c r="O99" s="956">
        <f t="shared" si="31"/>
        <v>6.6326530612244902E-2</v>
      </c>
      <c r="P99" s="956">
        <f t="shared" si="31"/>
        <v>7.1428571428571425E-2</v>
      </c>
      <c r="Q99" s="956">
        <f t="shared" si="31"/>
        <v>7.1428571428571425E-2</v>
      </c>
      <c r="R99" s="956">
        <f t="shared" si="31"/>
        <v>6.5989847715736044E-2</v>
      </c>
    </row>
    <row r="100" spans="1:18" x14ac:dyDescent="0.2">
      <c r="A100" s="103" t="s">
        <v>239</v>
      </c>
      <c r="B100" s="89" t="s">
        <v>240</v>
      </c>
      <c r="C100" s="103" t="s">
        <v>241</v>
      </c>
      <c r="D100" s="155">
        <v>0</v>
      </c>
      <c r="E100" s="155">
        <v>5</v>
      </c>
      <c r="F100" s="153"/>
      <c r="G100" s="105" t="s">
        <v>242</v>
      </c>
      <c r="H100" s="149" t="e">
        <f t="shared" ref="H100:R100" si="32">H98/H89</f>
        <v>#DIV/0!</v>
      </c>
      <c r="I100" s="149" t="e">
        <f t="shared" si="32"/>
        <v>#DIV/0!</v>
      </c>
      <c r="J100" s="149" t="e">
        <f t="shared" si="32"/>
        <v>#DIV/0!</v>
      </c>
      <c r="K100" s="149">
        <f t="shared" si="32"/>
        <v>8.7201610583836534E-2</v>
      </c>
      <c r="L100" s="149">
        <f t="shared" si="32"/>
        <v>-0.39845543727823496</v>
      </c>
      <c r="M100" s="149">
        <f t="shared" si="32"/>
        <v>0.22033898305084745</v>
      </c>
      <c r="N100" s="149" t="e">
        <f t="shared" si="32"/>
        <v>#DIV/0!</v>
      </c>
      <c r="O100" s="149" t="e">
        <f t="shared" si="32"/>
        <v>#DIV/0!</v>
      </c>
      <c r="P100" s="149" t="e">
        <f t="shared" si="32"/>
        <v>#DIV/0!</v>
      </c>
      <c r="Q100" s="149" t="e">
        <f t="shared" si="32"/>
        <v>#DIV/0!</v>
      </c>
      <c r="R100" s="149" t="e">
        <f t="shared" si="32"/>
        <v>#DIV/0!</v>
      </c>
    </row>
    <row r="101" spans="1:18" x14ac:dyDescent="0.2">
      <c r="A101" s="103" t="s">
        <v>243</v>
      </c>
      <c r="B101" s="89" t="s">
        <v>244</v>
      </c>
      <c r="C101" s="103" t="s">
        <v>245</v>
      </c>
      <c r="E101" s="144"/>
      <c r="F101" s="153"/>
      <c r="G101" s="105" t="s">
        <v>246</v>
      </c>
      <c r="H101" s="582">
        <f t="shared" ref="H101:R101" si="33">-(H75+H77+H78+H79+H80+H81)</f>
        <v>0</v>
      </c>
      <c r="I101" s="582">
        <f t="shared" si="33"/>
        <v>0</v>
      </c>
      <c r="J101" s="582">
        <f t="shared" si="33"/>
        <v>0</v>
      </c>
      <c r="K101" s="582">
        <f t="shared" si="33"/>
        <v>0</v>
      </c>
      <c r="L101" s="582">
        <f t="shared" si="33"/>
        <v>0</v>
      </c>
      <c r="M101" s="582">
        <f t="shared" si="33"/>
        <v>0</v>
      </c>
      <c r="N101" s="582">
        <f t="shared" si="33"/>
        <v>0</v>
      </c>
      <c r="O101" s="582">
        <f t="shared" si="33"/>
        <v>0</v>
      </c>
      <c r="P101" s="582">
        <f t="shared" si="33"/>
        <v>0</v>
      </c>
      <c r="Q101" s="582">
        <f t="shared" si="33"/>
        <v>0</v>
      </c>
      <c r="R101" s="582">
        <f t="shared" si="33"/>
        <v>0</v>
      </c>
    </row>
    <row r="102" spans="1:18" x14ac:dyDescent="0.2">
      <c r="A102" s="103" t="s">
        <v>247</v>
      </c>
      <c r="B102" s="89" t="s">
        <v>248</v>
      </c>
      <c r="C102" s="103" t="s">
        <v>249</v>
      </c>
      <c r="E102" s="155">
        <v>1.2</v>
      </c>
      <c r="F102" s="153"/>
      <c r="G102" s="105" t="s">
        <v>250</v>
      </c>
      <c r="H102" s="591" t="e">
        <f t="shared" ref="H102:R102" si="34">H89/H101</f>
        <v>#DIV/0!</v>
      </c>
      <c r="I102" s="149" t="e">
        <f t="shared" si="34"/>
        <v>#DIV/0!</v>
      </c>
      <c r="J102" s="149" t="e">
        <f t="shared" si="34"/>
        <v>#DIV/0!</v>
      </c>
      <c r="K102" s="149" t="e">
        <f t="shared" si="34"/>
        <v>#DIV/0!</v>
      </c>
      <c r="L102" s="149" t="e">
        <f t="shared" si="34"/>
        <v>#DIV/0!</v>
      </c>
      <c r="M102" s="149" t="e">
        <f t="shared" si="34"/>
        <v>#DIV/0!</v>
      </c>
      <c r="N102" s="149" t="e">
        <f t="shared" si="34"/>
        <v>#DIV/0!</v>
      </c>
      <c r="O102" s="149" t="e">
        <f t="shared" si="34"/>
        <v>#DIV/0!</v>
      </c>
      <c r="P102" s="149" t="e">
        <f t="shared" si="34"/>
        <v>#DIV/0!</v>
      </c>
      <c r="Q102" s="149" t="e">
        <f t="shared" si="34"/>
        <v>#DIV/0!</v>
      </c>
      <c r="R102" s="149" t="e">
        <f t="shared" si="34"/>
        <v>#DIV/0!</v>
      </c>
    </row>
    <row r="103" spans="1:18" x14ac:dyDescent="0.2">
      <c r="A103" s="157" t="s">
        <v>251</v>
      </c>
      <c r="B103" s="89" t="s">
        <v>252</v>
      </c>
      <c r="C103" s="103" t="s">
        <v>253</v>
      </c>
      <c r="E103" s="155">
        <v>0</v>
      </c>
      <c r="F103" s="153"/>
      <c r="G103" s="571" t="s">
        <v>254</v>
      </c>
      <c r="H103" s="582">
        <f t="shared" ref="H103:R103" si="35">H5-H20</f>
        <v>0</v>
      </c>
      <c r="I103" s="582">
        <f t="shared" si="35"/>
        <v>0</v>
      </c>
      <c r="J103" s="582">
        <f t="shared" si="35"/>
        <v>0</v>
      </c>
      <c r="K103" s="582">
        <f t="shared" si="35"/>
        <v>1.8190000000000026</v>
      </c>
      <c r="L103" s="582">
        <f t="shared" si="35"/>
        <v>2.625</v>
      </c>
      <c r="M103" s="582">
        <f t="shared" si="35"/>
        <v>34</v>
      </c>
      <c r="N103" s="582">
        <f t="shared" si="35"/>
        <v>28</v>
      </c>
      <c r="O103" s="582">
        <f t="shared" si="35"/>
        <v>28</v>
      </c>
      <c r="P103" s="582">
        <f t="shared" si="35"/>
        <v>10</v>
      </c>
      <c r="Q103" s="582">
        <f t="shared" si="35"/>
        <v>11</v>
      </c>
      <c r="R103" s="582">
        <f t="shared" si="35"/>
        <v>11</v>
      </c>
    </row>
    <row r="104" spans="1:18" x14ac:dyDescent="0.2">
      <c r="A104" s="103" t="s">
        <v>255</v>
      </c>
      <c r="B104" s="89" t="s">
        <v>256</v>
      </c>
      <c r="C104" s="103" t="s">
        <v>257</v>
      </c>
      <c r="E104" s="155">
        <v>1</v>
      </c>
      <c r="F104" s="153"/>
      <c r="G104" s="105" t="s">
        <v>258</v>
      </c>
      <c r="H104" s="591" t="e">
        <f t="shared" ref="H104:R104" si="36">H5/H20</f>
        <v>#DIV/0!</v>
      </c>
      <c r="I104" s="591" t="e">
        <f t="shared" si="36"/>
        <v>#DIV/0!</v>
      </c>
      <c r="J104" s="591" t="e">
        <f t="shared" si="36"/>
        <v>#DIV/0!</v>
      </c>
      <c r="K104" s="591">
        <f t="shared" si="36"/>
        <v>1.1110500610500613</v>
      </c>
      <c r="L104" s="591">
        <f t="shared" si="36"/>
        <v>1.0326549399149105</v>
      </c>
      <c r="M104" s="591" t="e">
        <f t="shared" si="36"/>
        <v>#DIV/0!</v>
      </c>
      <c r="N104" s="591" t="e">
        <f t="shared" si="36"/>
        <v>#DIV/0!</v>
      </c>
      <c r="O104" s="591" t="e">
        <f t="shared" si="36"/>
        <v>#DIV/0!</v>
      </c>
      <c r="P104" s="591" t="e">
        <f t="shared" si="36"/>
        <v>#DIV/0!</v>
      </c>
      <c r="Q104" s="591" t="e">
        <f t="shared" si="36"/>
        <v>#DIV/0!</v>
      </c>
      <c r="R104" s="591" t="e">
        <f t="shared" si="36"/>
        <v>#DIV/0!</v>
      </c>
    </row>
    <row r="105" spans="1:18" x14ac:dyDescent="0.2">
      <c r="A105" s="103" t="s">
        <v>259</v>
      </c>
      <c r="B105" s="89" t="s">
        <v>260</v>
      </c>
      <c r="C105" s="103" t="s">
        <v>261</v>
      </c>
      <c r="E105" s="155">
        <v>1</v>
      </c>
      <c r="F105" s="153"/>
      <c r="G105" s="143" t="s">
        <v>262</v>
      </c>
      <c r="H105" s="591" t="e">
        <f t="shared" ref="H105:R105" si="37">-H6/((H38+H41-H45+H47)/12)</f>
        <v>#DIV/0!</v>
      </c>
      <c r="I105" s="591" t="e">
        <f t="shared" si="37"/>
        <v>#DIV/0!</v>
      </c>
      <c r="J105" s="591" t="e">
        <f t="shared" si="37"/>
        <v>#DIV/0!</v>
      </c>
      <c r="K105" s="591">
        <f t="shared" si="37"/>
        <v>8.9230897078987823</v>
      </c>
      <c r="L105" s="591">
        <f t="shared" si="37"/>
        <v>5.3994029459042743</v>
      </c>
      <c r="M105" s="591">
        <f t="shared" si="37"/>
        <v>1.8165137614678899</v>
      </c>
      <c r="N105" s="591">
        <f t="shared" si="37"/>
        <v>1.7142857142857144</v>
      </c>
      <c r="O105" s="591">
        <f t="shared" si="37"/>
        <v>1.7142857142857144</v>
      </c>
      <c r="P105" s="591">
        <f t="shared" si="37"/>
        <v>0.55102040816326536</v>
      </c>
      <c r="Q105" s="591">
        <f t="shared" si="37"/>
        <v>0.61224489795918369</v>
      </c>
      <c r="R105" s="591">
        <f t="shared" si="37"/>
        <v>0.6700507614213197</v>
      </c>
    </row>
    <row r="106" spans="1:18" x14ac:dyDescent="0.2">
      <c r="C106" s="103"/>
      <c r="F106" s="153"/>
      <c r="G106" s="152" t="s">
        <v>263</v>
      </c>
      <c r="H106" s="129">
        <f t="shared" ref="H106:R106" si="38">H95</f>
        <v>2011</v>
      </c>
      <c r="I106" s="129">
        <f t="shared" si="38"/>
        <v>2012</v>
      </c>
      <c r="J106" s="129">
        <f t="shared" si="38"/>
        <v>2013</v>
      </c>
      <c r="K106" s="129">
        <f t="shared" si="38"/>
        <v>2014</v>
      </c>
      <c r="L106" s="129">
        <f t="shared" si="38"/>
        <v>2015</v>
      </c>
      <c r="M106" s="129">
        <f t="shared" si="38"/>
        <v>2016</v>
      </c>
      <c r="N106" s="129">
        <f t="shared" si="38"/>
        <v>2017</v>
      </c>
      <c r="O106" s="129">
        <f t="shared" si="38"/>
        <v>2018</v>
      </c>
      <c r="P106" s="129">
        <f t="shared" si="38"/>
        <v>2019</v>
      </c>
      <c r="Q106" s="129">
        <f t="shared" si="38"/>
        <v>2020</v>
      </c>
      <c r="R106" s="129">
        <f t="shared" si="38"/>
        <v>2021</v>
      </c>
    </row>
    <row r="107" spans="1:18" x14ac:dyDescent="0.2">
      <c r="A107" s="103" t="s">
        <v>264</v>
      </c>
      <c r="B107" s="89" t="s">
        <v>265</v>
      </c>
      <c r="C107" s="103" t="s">
        <v>266</v>
      </c>
      <c r="E107" s="146">
        <v>0.6</v>
      </c>
      <c r="F107" s="153"/>
      <c r="G107" s="571" t="s">
        <v>267</v>
      </c>
      <c r="H107" s="958" t="e">
        <f t="shared" ref="H107:R107" si="39">H17/H4</f>
        <v>#DIV/0!</v>
      </c>
      <c r="I107" s="958" t="e">
        <f t="shared" si="39"/>
        <v>#DIV/0!</v>
      </c>
      <c r="J107" s="958" t="e">
        <f t="shared" si="39"/>
        <v>#DIV/0!</v>
      </c>
      <c r="K107" s="958">
        <f t="shared" si="39"/>
        <v>0</v>
      </c>
      <c r="L107" s="958">
        <f t="shared" si="39"/>
        <v>0</v>
      </c>
      <c r="M107" s="958">
        <f t="shared" si="39"/>
        <v>0</v>
      </c>
      <c r="N107" s="958">
        <f t="shared" si="39"/>
        <v>0</v>
      </c>
      <c r="O107" s="958">
        <f t="shared" si="39"/>
        <v>0</v>
      </c>
      <c r="P107" s="958">
        <f t="shared" si="39"/>
        <v>0</v>
      </c>
      <c r="Q107" s="958">
        <f t="shared" si="39"/>
        <v>0</v>
      </c>
      <c r="R107" s="958">
        <f t="shared" si="39"/>
        <v>0</v>
      </c>
    </row>
    <row r="108" spans="1:18" x14ac:dyDescent="0.2">
      <c r="A108" s="103" t="s">
        <v>268</v>
      </c>
      <c r="B108" s="89" t="s">
        <v>269</v>
      </c>
      <c r="C108" s="103" t="s">
        <v>270</v>
      </c>
      <c r="E108" s="146">
        <v>0.4</v>
      </c>
      <c r="F108" s="153"/>
      <c r="G108" s="143" t="s">
        <v>271</v>
      </c>
      <c r="H108" s="958" t="e">
        <f t="shared" ref="H108:R108" si="40">H27/H17</f>
        <v>#DIV/0!</v>
      </c>
      <c r="I108" s="958" t="e">
        <f t="shared" si="40"/>
        <v>#DIV/0!</v>
      </c>
      <c r="J108" s="958" t="e">
        <f t="shared" si="40"/>
        <v>#DIV/0!</v>
      </c>
      <c r="K108" s="958" t="e">
        <f t="shared" si="40"/>
        <v>#DIV/0!</v>
      </c>
      <c r="L108" s="958" t="e">
        <f t="shared" si="40"/>
        <v>#DIV/0!</v>
      </c>
      <c r="M108" s="958" t="e">
        <f t="shared" si="40"/>
        <v>#DIV/0!</v>
      </c>
      <c r="N108" s="958" t="e">
        <f t="shared" si="40"/>
        <v>#DIV/0!</v>
      </c>
      <c r="O108" s="958" t="e">
        <f t="shared" si="40"/>
        <v>#DIV/0!</v>
      </c>
      <c r="P108" s="958" t="e">
        <f t="shared" si="40"/>
        <v>#DIV/0!</v>
      </c>
      <c r="Q108" s="958" t="e">
        <f t="shared" si="40"/>
        <v>#DIV/0!</v>
      </c>
      <c r="R108" s="958" t="e">
        <f t="shared" si="40"/>
        <v>#DIV/0!</v>
      </c>
    </row>
    <row r="109" spans="1:18" x14ac:dyDescent="0.2">
      <c r="C109" s="103"/>
      <c r="F109" s="153"/>
      <c r="G109" s="158" t="s">
        <v>272</v>
      </c>
      <c r="H109" s="129">
        <f t="shared" ref="H109:R109" si="41">H95</f>
        <v>2011</v>
      </c>
      <c r="I109" s="129">
        <f t="shared" si="41"/>
        <v>2012</v>
      </c>
      <c r="J109" s="129">
        <f t="shared" si="41"/>
        <v>2013</v>
      </c>
      <c r="K109" s="129">
        <f t="shared" si="41"/>
        <v>2014</v>
      </c>
      <c r="L109" s="129">
        <f t="shared" si="41"/>
        <v>2015</v>
      </c>
      <c r="M109" s="129">
        <f t="shared" si="41"/>
        <v>2016</v>
      </c>
      <c r="N109" s="129">
        <f t="shared" si="41"/>
        <v>2017</v>
      </c>
      <c r="O109" s="129">
        <f t="shared" si="41"/>
        <v>2018</v>
      </c>
      <c r="P109" s="129">
        <f t="shared" si="41"/>
        <v>2019</v>
      </c>
      <c r="Q109" s="129">
        <f t="shared" si="41"/>
        <v>2020</v>
      </c>
      <c r="R109" s="129">
        <f t="shared" si="41"/>
        <v>2021</v>
      </c>
    </row>
    <row r="110" spans="1:18" x14ac:dyDescent="0.2">
      <c r="A110" s="103" t="s">
        <v>273</v>
      </c>
      <c r="B110" s="89" t="s">
        <v>274</v>
      </c>
      <c r="C110" s="159" t="s">
        <v>275</v>
      </c>
      <c r="E110" s="144"/>
      <c r="F110" s="153"/>
      <c r="G110" s="105" t="s">
        <v>276</v>
      </c>
      <c r="H110" s="160" t="e">
        <f t="shared" ref="H110:R110" si="42">H10/H4</f>
        <v>#DIV/0!</v>
      </c>
      <c r="I110" s="160" t="e">
        <f t="shared" si="42"/>
        <v>#DIV/0!</v>
      </c>
      <c r="J110" s="160" t="e">
        <f t="shared" si="42"/>
        <v>#DIV/0!</v>
      </c>
      <c r="K110" s="160">
        <f t="shared" si="42"/>
        <v>0.91578357967218571</v>
      </c>
      <c r="L110" s="160">
        <f t="shared" si="42"/>
        <v>0.69425609104804697</v>
      </c>
      <c r="M110" s="160">
        <f t="shared" si="42"/>
        <v>0.8716981132075472</v>
      </c>
      <c r="N110" s="160">
        <f t="shared" si="42"/>
        <v>0.87772925764192145</v>
      </c>
      <c r="O110" s="160">
        <f t="shared" si="42"/>
        <v>0.85858585858585856</v>
      </c>
      <c r="P110" s="160">
        <f t="shared" si="42"/>
        <v>0.93288590604026844</v>
      </c>
      <c r="Q110" s="160">
        <f t="shared" si="42"/>
        <v>0.90756302521008403</v>
      </c>
      <c r="R110" s="160">
        <f t="shared" si="42"/>
        <v>0.875</v>
      </c>
    </row>
    <row r="111" spans="1:18" x14ac:dyDescent="0.2">
      <c r="A111" s="103" t="s">
        <v>277</v>
      </c>
      <c r="B111" s="89" t="s">
        <v>278</v>
      </c>
      <c r="C111" s="159" t="s">
        <v>279</v>
      </c>
      <c r="E111" s="144"/>
      <c r="F111" s="153"/>
      <c r="G111" s="105" t="s">
        <v>280</v>
      </c>
      <c r="H111" s="160" t="e">
        <f t="shared" ref="H111:R111" si="43">-(H58)/H15</f>
        <v>#DIV/0!</v>
      </c>
      <c r="I111" s="160" t="e">
        <f t="shared" si="43"/>
        <v>#DIV/0!</v>
      </c>
      <c r="J111" s="160" t="e">
        <f t="shared" si="43"/>
        <v>#DIV/0!</v>
      </c>
      <c r="K111" s="160">
        <f t="shared" si="43"/>
        <v>0</v>
      </c>
      <c r="L111" s="160">
        <f t="shared" si="43"/>
        <v>0</v>
      </c>
      <c r="M111" s="160">
        <f t="shared" si="43"/>
        <v>0.41125541125541126</v>
      </c>
      <c r="N111" s="160">
        <f t="shared" si="43"/>
        <v>0</v>
      </c>
      <c r="O111" s="160">
        <f t="shared" si="43"/>
        <v>0</v>
      </c>
      <c r="P111" s="160">
        <f t="shared" si="43"/>
        <v>0</v>
      </c>
      <c r="Q111" s="160">
        <f t="shared" si="43"/>
        <v>0</v>
      </c>
      <c r="R111" s="160">
        <f t="shared" si="43"/>
        <v>0</v>
      </c>
    </row>
    <row r="112" spans="1:18" x14ac:dyDescent="0.2">
      <c r="A112" s="103" t="s">
        <v>281</v>
      </c>
      <c r="B112" s="89" t="s">
        <v>282</v>
      </c>
      <c r="C112" s="103" t="s">
        <v>283</v>
      </c>
      <c r="E112" s="144"/>
      <c r="F112" s="153"/>
      <c r="G112" s="571" t="s">
        <v>284</v>
      </c>
      <c r="H112" s="149" t="e">
        <f t="shared" ref="H112:R112" si="44">H33/H4</f>
        <v>#DIV/0!</v>
      </c>
      <c r="I112" s="149" t="e">
        <f t="shared" si="44"/>
        <v>#DIV/0!</v>
      </c>
      <c r="J112" s="149" t="e">
        <f t="shared" si="44"/>
        <v>#DIV/0!</v>
      </c>
      <c r="K112" s="149">
        <f t="shared" si="44"/>
        <v>3.0921156142120699E-2</v>
      </c>
      <c r="L112" s="149">
        <f t="shared" si="44"/>
        <v>0.69186571149702569</v>
      </c>
      <c r="M112" s="149">
        <f t="shared" si="44"/>
        <v>1.0452830188679245</v>
      </c>
      <c r="N112" s="149">
        <f t="shared" si="44"/>
        <v>0.85589519650655022</v>
      </c>
      <c r="O112" s="149">
        <f t="shared" si="44"/>
        <v>0.98989898989898994</v>
      </c>
      <c r="P112" s="149">
        <f t="shared" si="44"/>
        <v>1.3154362416107384</v>
      </c>
      <c r="Q112" s="149">
        <f t="shared" si="44"/>
        <v>1.6470588235294117</v>
      </c>
      <c r="R112" s="149">
        <f t="shared" si="44"/>
        <v>2.2386363636363638</v>
      </c>
    </row>
    <row r="113" spans="1:19" x14ac:dyDescent="0.2">
      <c r="A113" s="103" t="s">
        <v>285</v>
      </c>
      <c r="B113" s="89" t="s">
        <v>286</v>
      </c>
      <c r="C113" s="159" t="s">
        <v>287</v>
      </c>
      <c r="E113" s="144"/>
      <c r="F113" s="153"/>
      <c r="G113" s="143" t="s">
        <v>288</v>
      </c>
      <c r="H113" s="149" t="e">
        <f t="shared" ref="H113:R113" si="45">H33/H15</f>
        <v>#DIV/0!</v>
      </c>
      <c r="I113" s="149" t="e">
        <f t="shared" si="45"/>
        <v>#DIV/0!</v>
      </c>
      <c r="J113" s="149" t="e">
        <f t="shared" si="45"/>
        <v>#DIV/0!</v>
      </c>
      <c r="K113" s="149">
        <f t="shared" si="45"/>
        <v>3.3764698154108909E-2</v>
      </c>
      <c r="L113" s="149">
        <f t="shared" si="45"/>
        <v>0.99655691958364712</v>
      </c>
      <c r="M113" s="149">
        <f t="shared" si="45"/>
        <v>1.1991341991341991</v>
      </c>
      <c r="N113" s="149">
        <f t="shared" si="45"/>
        <v>0.97512437810945274</v>
      </c>
      <c r="O113" s="149">
        <f t="shared" si="45"/>
        <v>1.1529411764705881</v>
      </c>
      <c r="P113" s="149">
        <f t="shared" si="45"/>
        <v>1.4100719424460431</v>
      </c>
      <c r="Q113" s="149">
        <f t="shared" si="45"/>
        <v>1.8148148148148149</v>
      </c>
      <c r="R113" s="149">
        <f t="shared" si="45"/>
        <v>2.5584415584415585</v>
      </c>
    </row>
    <row r="114" spans="1:19" x14ac:dyDescent="0.2">
      <c r="A114" s="103" t="s">
        <v>289</v>
      </c>
      <c r="B114" s="89" t="s">
        <v>290</v>
      </c>
      <c r="C114" s="159" t="s">
        <v>291</v>
      </c>
      <c r="D114" s="146">
        <v>0.5</v>
      </c>
      <c r="E114" s="146">
        <f>1/3</f>
        <v>0.33333333333333331</v>
      </c>
      <c r="F114" s="153"/>
      <c r="G114" s="105" t="s">
        <v>292</v>
      </c>
      <c r="H114" s="959" t="e">
        <f t="shared" ref="H114:R114" si="46">H27/H4</f>
        <v>#DIV/0!</v>
      </c>
      <c r="I114" s="959" t="e">
        <f t="shared" si="46"/>
        <v>#DIV/0!</v>
      </c>
      <c r="J114" s="959" t="e">
        <f t="shared" si="46"/>
        <v>#DIV/0!</v>
      </c>
      <c r="K114" s="959">
        <f t="shared" si="46"/>
        <v>0.92419642939777324</v>
      </c>
      <c r="L114" s="959">
        <f t="shared" si="46"/>
        <v>0.703924421281376</v>
      </c>
      <c r="M114" s="959">
        <f t="shared" si="46"/>
        <v>0.82641509433962268</v>
      </c>
      <c r="N114" s="959">
        <f t="shared" si="46"/>
        <v>0.82096069868995636</v>
      </c>
      <c r="O114" s="959">
        <f t="shared" si="46"/>
        <v>0.79292929292929293</v>
      </c>
      <c r="P114" s="959">
        <f t="shared" si="46"/>
        <v>0.84563758389261745</v>
      </c>
      <c r="Q114" s="959">
        <f t="shared" si="46"/>
        <v>0.79831932773109249</v>
      </c>
      <c r="R114" s="959">
        <f t="shared" si="46"/>
        <v>0.72727272727272729</v>
      </c>
    </row>
    <row r="115" spans="1:19" x14ac:dyDescent="0.2">
      <c r="A115" s="161"/>
      <c r="C115" s="161"/>
      <c r="D115" s="162"/>
      <c r="E115" s="163"/>
      <c r="F115" s="153"/>
      <c r="G115" s="98" t="s">
        <v>293</v>
      </c>
      <c r="H115" s="129">
        <f t="shared" ref="H115:R115" si="47">H109</f>
        <v>2011</v>
      </c>
      <c r="I115" s="129">
        <f t="shared" si="47"/>
        <v>2012</v>
      </c>
      <c r="J115" s="129">
        <f t="shared" si="47"/>
        <v>2013</v>
      </c>
      <c r="K115" s="129">
        <f t="shared" si="47"/>
        <v>2014</v>
      </c>
      <c r="L115" s="129">
        <f t="shared" si="47"/>
        <v>2015</v>
      </c>
      <c r="M115" s="129">
        <f t="shared" si="47"/>
        <v>2016</v>
      </c>
      <c r="N115" s="129">
        <f t="shared" si="47"/>
        <v>2017</v>
      </c>
      <c r="O115" s="129">
        <f t="shared" si="47"/>
        <v>2018</v>
      </c>
      <c r="P115" s="129">
        <f t="shared" si="47"/>
        <v>2019</v>
      </c>
      <c r="Q115" s="129">
        <f t="shared" si="47"/>
        <v>2020</v>
      </c>
      <c r="R115" s="129">
        <f t="shared" si="47"/>
        <v>2021</v>
      </c>
    </row>
    <row r="116" spans="1:19" x14ac:dyDescent="0.2">
      <c r="A116" s="103" t="s">
        <v>294</v>
      </c>
      <c r="B116" s="89" t="s">
        <v>295</v>
      </c>
      <c r="C116" s="103" t="s">
        <v>296</v>
      </c>
      <c r="D116" s="164"/>
      <c r="E116" s="146">
        <v>0.05</v>
      </c>
      <c r="G116" s="571" t="s">
        <v>297</v>
      </c>
      <c r="H116" s="148" t="e">
        <f t="shared" ref="H116:R116" si="48">H35/H33</f>
        <v>#DIV/0!</v>
      </c>
      <c r="I116" s="956" t="e">
        <f t="shared" si="48"/>
        <v>#DIV/0!</v>
      </c>
      <c r="J116" s="956" t="e">
        <f t="shared" si="48"/>
        <v>#DIV/0!</v>
      </c>
      <c r="K116" s="956">
        <f t="shared" si="48"/>
        <v>0.42143070936845256</v>
      </c>
      <c r="L116" s="956">
        <f t="shared" si="48"/>
        <v>0.15063483190928692</v>
      </c>
      <c r="M116" s="956">
        <f t="shared" si="48"/>
        <v>6.4981949458483748E-2</v>
      </c>
      <c r="N116" s="956">
        <f t="shared" si="48"/>
        <v>0.12244897959183673</v>
      </c>
      <c r="O116" s="956">
        <f t="shared" si="48"/>
        <v>0.12244897959183673</v>
      </c>
      <c r="P116" s="956">
        <f t="shared" si="48"/>
        <v>0.12244897959183673</v>
      </c>
      <c r="Q116" s="956">
        <f t="shared" si="48"/>
        <v>0.12244897959183673</v>
      </c>
      <c r="R116" s="956">
        <f t="shared" si="48"/>
        <v>0.12690355329949238</v>
      </c>
    </row>
    <row r="117" spans="1:19" x14ac:dyDescent="0.2">
      <c r="A117" s="103" t="s">
        <v>298</v>
      </c>
      <c r="B117" s="89" t="s">
        <v>299</v>
      </c>
      <c r="C117" s="103" t="s">
        <v>300</v>
      </c>
      <c r="E117" s="146">
        <v>0.95</v>
      </c>
      <c r="G117" s="105" t="s">
        <v>301</v>
      </c>
      <c r="H117" s="959" t="e">
        <f t="shared" ref="H117:R117" si="49">(H36+H34)/H33</f>
        <v>#DIV/0!</v>
      </c>
      <c r="I117" s="959" t="e">
        <f t="shared" si="49"/>
        <v>#DIV/0!</v>
      </c>
      <c r="J117" s="959" t="e">
        <f t="shared" si="49"/>
        <v>#DIV/0!</v>
      </c>
      <c r="K117" s="959">
        <f t="shared" si="49"/>
        <v>0.54010775217000906</v>
      </c>
      <c r="L117" s="959">
        <f t="shared" si="49"/>
        <v>0.84830046048603913</v>
      </c>
      <c r="M117" s="959">
        <f t="shared" si="49"/>
        <v>0.93501805054151621</v>
      </c>
      <c r="N117" s="959">
        <f t="shared" si="49"/>
        <v>0.87755102040816324</v>
      </c>
      <c r="O117" s="959">
        <f t="shared" si="49"/>
        <v>0.87755102040816324</v>
      </c>
      <c r="P117" s="959">
        <f t="shared" si="49"/>
        <v>0.87755102040816324</v>
      </c>
      <c r="Q117" s="959">
        <f t="shared" si="49"/>
        <v>0.87755102040816324</v>
      </c>
      <c r="R117" s="959">
        <f t="shared" si="49"/>
        <v>0.87309644670050757</v>
      </c>
    </row>
    <row r="118" spans="1:19" x14ac:dyDescent="0.2">
      <c r="A118" s="103" t="s">
        <v>302</v>
      </c>
      <c r="B118" s="89" t="s">
        <v>303</v>
      </c>
      <c r="C118" s="103" t="s">
        <v>304</v>
      </c>
      <c r="E118" s="146">
        <v>0.95</v>
      </c>
      <c r="G118" s="143" t="s">
        <v>305</v>
      </c>
      <c r="H118" s="956" t="e">
        <f t="shared" ref="H118:R118" si="50">H38/(H38+H41)</f>
        <v>#DIV/0!</v>
      </c>
      <c r="I118" s="956" t="e">
        <f t="shared" si="50"/>
        <v>#DIV/0!</v>
      </c>
      <c r="J118" s="956" t="e">
        <f t="shared" si="50"/>
        <v>#DIV/0!</v>
      </c>
      <c r="K118" s="956">
        <f t="shared" si="50"/>
        <v>0</v>
      </c>
      <c r="L118" s="956">
        <f t="shared" si="50"/>
        <v>0</v>
      </c>
      <c r="M118" s="956">
        <f t="shared" si="50"/>
        <v>0</v>
      </c>
      <c r="N118" s="956">
        <f t="shared" si="50"/>
        <v>0</v>
      </c>
      <c r="O118" s="956">
        <f t="shared" si="50"/>
        <v>0</v>
      </c>
      <c r="P118" s="956">
        <f t="shared" si="50"/>
        <v>0</v>
      </c>
      <c r="Q118" s="956">
        <f t="shared" si="50"/>
        <v>0</v>
      </c>
      <c r="R118" s="956">
        <f t="shared" si="50"/>
        <v>0</v>
      </c>
    </row>
    <row r="119" spans="1:19" x14ac:dyDescent="0.2">
      <c r="A119" s="161"/>
      <c r="C119" s="162"/>
      <c r="D119" s="162"/>
      <c r="E119" s="163"/>
      <c r="F119" s="153"/>
      <c r="G119" s="98" t="s">
        <v>306</v>
      </c>
      <c r="H119" s="129">
        <f>H115</f>
        <v>2011</v>
      </c>
      <c r="I119" s="129">
        <f t="shared" ref="I119:R119" si="51">I115</f>
        <v>2012</v>
      </c>
      <c r="J119" s="129">
        <f t="shared" si="51"/>
        <v>2013</v>
      </c>
      <c r="K119" s="129">
        <f t="shared" si="51"/>
        <v>2014</v>
      </c>
      <c r="L119" s="129">
        <f t="shared" si="51"/>
        <v>2015</v>
      </c>
      <c r="M119" s="129">
        <f t="shared" si="51"/>
        <v>2016</v>
      </c>
      <c r="N119" s="129">
        <f t="shared" si="51"/>
        <v>2017</v>
      </c>
      <c r="O119" s="129">
        <f t="shared" si="51"/>
        <v>2018</v>
      </c>
      <c r="P119" s="129">
        <f t="shared" si="51"/>
        <v>2019</v>
      </c>
      <c r="Q119" s="129">
        <f t="shared" si="51"/>
        <v>2020</v>
      </c>
      <c r="R119" s="129">
        <f t="shared" si="51"/>
        <v>2021</v>
      </c>
    </row>
    <row r="120" spans="1:19" x14ac:dyDescent="0.2">
      <c r="A120" s="91" t="s">
        <v>307</v>
      </c>
      <c r="B120" s="89" t="s">
        <v>308</v>
      </c>
      <c r="C120" s="103" t="s">
        <v>309</v>
      </c>
      <c r="D120" s="165">
        <v>0.5</v>
      </c>
      <c r="E120" s="166" t="s">
        <v>310</v>
      </c>
      <c r="F120" s="91"/>
      <c r="G120" s="571" t="s">
        <v>311</v>
      </c>
      <c r="H120" s="149" t="e">
        <f t="shared" ref="H120:R120" si="52">IF(H116&lt;$D$120,$E$120,H35/H4)</f>
        <v>#DIV/0!</v>
      </c>
      <c r="I120" s="149" t="e">
        <f t="shared" si="52"/>
        <v>#DIV/0!</v>
      </c>
      <c r="J120" s="149" t="e">
        <f t="shared" si="52"/>
        <v>#DIV/0!</v>
      </c>
      <c r="K120" s="149" t="str">
        <f t="shared" si="52"/>
        <v>N/A</v>
      </c>
      <c r="L120" s="149" t="str">
        <f t="shared" si="52"/>
        <v>N/A</v>
      </c>
      <c r="M120" s="149" t="str">
        <f t="shared" si="52"/>
        <v>N/A</v>
      </c>
      <c r="N120" s="149" t="str">
        <f t="shared" si="52"/>
        <v>N/A</v>
      </c>
      <c r="O120" s="149" t="str">
        <f t="shared" si="52"/>
        <v>N/A</v>
      </c>
      <c r="P120" s="149" t="str">
        <f t="shared" si="52"/>
        <v>N/A</v>
      </c>
      <c r="Q120" s="149" t="str">
        <f t="shared" si="52"/>
        <v>N/A</v>
      </c>
      <c r="R120" s="149" t="str">
        <f t="shared" si="52"/>
        <v>N/A</v>
      </c>
    </row>
    <row r="121" spans="1:19" x14ac:dyDescent="0.2">
      <c r="A121" s="91" t="s">
        <v>312</v>
      </c>
      <c r="B121" s="89" t="s">
        <v>313</v>
      </c>
      <c r="C121" s="103" t="s">
        <v>314</v>
      </c>
      <c r="D121" s="165">
        <v>0.5</v>
      </c>
      <c r="E121" s="166" t="s">
        <v>310</v>
      </c>
      <c r="F121" s="91"/>
      <c r="G121" s="105" t="s">
        <v>315</v>
      </c>
      <c r="H121" s="149" t="e">
        <f t="shared" ref="H121:R121" si="53">IF(H116&lt;$D$121,$E$121,H35/H15)</f>
        <v>#DIV/0!</v>
      </c>
      <c r="I121" s="149" t="e">
        <f t="shared" si="53"/>
        <v>#DIV/0!</v>
      </c>
      <c r="J121" s="149" t="e">
        <f t="shared" si="53"/>
        <v>#DIV/0!</v>
      </c>
      <c r="K121" s="149" t="str">
        <f t="shared" si="53"/>
        <v>N/A</v>
      </c>
      <c r="L121" s="149" t="str">
        <f t="shared" si="53"/>
        <v>N/A</v>
      </c>
      <c r="M121" s="149" t="str">
        <f t="shared" si="53"/>
        <v>N/A</v>
      </c>
      <c r="N121" s="149" t="str">
        <f t="shared" si="53"/>
        <v>N/A</v>
      </c>
      <c r="O121" s="149" t="str">
        <f t="shared" si="53"/>
        <v>N/A</v>
      </c>
      <c r="P121" s="149" t="str">
        <f t="shared" si="53"/>
        <v>N/A</v>
      </c>
      <c r="Q121" s="149" t="str">
        <f t="shared" si="53"/>
        <v>N/A</v>
      </c>
      <c r="R121" s="149" t="str">
        <f t="shared" si="53"/>
        <v>N/A</v>
      </c>
    </row>
    <row r="122" spans="1:19" x14ac:dyDescent="0.2">
      <c r="A122" s="91" t="s">
        <v>316</v>
      </c>
      <c r="B122" s="89" t="s">
        <v>317</v>
      </c>
      <c r="C122" s="103" t="s">
        <v>217</v>
      </c>
      <c r="D122" s="165">
        <v>0.5</v>
      </c>
      <c r="E122" s="166" t="s">
        <v>310</v>
      </c>
      <c r="F122" s="91"/>
      <c r="G122" s="571" t="s">
        <v>318</v>
      </c>
      <c r="H122" s="160" t="e">
        <f t="shared" ref="H122:R122" si="54">IF(H116&lt;$D$122,$E$122,H46/H33)</f>
        <v>#DIV/0!</v>
      </c>
      <c r="I122" s="160" t="e">
        <f t="shared" si="54"/>
        <v>#DIV/0!</v>
      </c>
      <c r="J122" s="160" t="e">
        <f t="shared" si="54"/>
        <v>#DIV/0!</v>
      </c>
      <c r="K122" s="160" t="str">
        <f t="shared" si="54"/>
        <v>N/A</v>
      </c>
      <c r="L122" s="160" t="str">
        <f t="shared" si="54"/>
        <v>N/A</v>
      </c>
      <c r="M122" s="160" t="str">
        <f t="shared" si="54"/>
        <v>N/A</v>
      </c>
      <c r="N122" s="160" t="str">
        <f t="shared" si="54"/>
        <v>N/A</v>
      </c>
      <c r="O122" s="160" t="str">
        <f t="shared" si="54"/>
        <v>N/A</v>
      </c>
      <c r="P122" s="160" t="str">
        <f t="shared" si="54"/>
        <v>N/A</v>
      </c>
      <c r="Q122" s="160" t="str">
        <f t="shared" si="54"/>
        <v>N/A</v>
      </c>
      <c r="R122" s="160" t="str">
        <f t="shared" si="54"/>
        <v>N/A</v>
      </c>
    </row>
    <row r="123" spans="1:19" x14ac:dyDescent="0.2">
      <c r="A123" s="91" t="s">
        <v>319</v>
      </c>
      <c r="B123" s="89" t="s">
        <v>320</v>
      </c>
      <c r="C123" s="103" t="s">
        <v>321</v>
      </c>
      <c r="D123" s="165">
        <v>0.5</v>
      </c>
      <c r="E123" s="166" t="s">
        <v>310</v>
      </c>
      <c r="F123" s="91"/>
      <c r="G123" s="105" t="s">
        <v>322</v>
      </c>
      <c r="H123" s="160" t="e">
        <f t="shared" ref="H123:R123" si="55">IF(H116&lt;$D$122,$E$123,H51/H33)</f>
        <v>#DIV/0!</v>
      </c>
      <c r="I123" s="160" t="e">
        <f t="shared" si="55"/>
        <v>#DIV/0!</v>
      </c>
      <c r="J123" s="160" t="e">
        <f t="shared" si="55"/>
        <v>#DIV/0!</v>
      </c>
      <c r="K123" s="160" t="str">
        <f t="shared" si="55"/>
        <v>N/A</v>
      </c>
      <c r="L123" s="160" t="str">
        <f t="shared" si="55"/>
        <v>N/A</v>
      </c>
      <c r="M123" s="160" t="str">
        <f t="shared" si="55"/>
        <v>N/A</v>
      </c>
      <c r="N123" s="160" t="str">
        <f t="shared" si="55"/>
        <v>N/A</v>
      </c>
      <c r="O123" s="160" t="str">
        <f t="shared" si="55"/>
        <v>N/A</v>
      </c>
      <c r="P123" s="160" t="str">
        <f t="shared" si="55"/>
        <v>N/A</v>
      </c>
      <c r="Q123" s="160" t="str">
        <f t="shared" si="55"/>
        <v>N/A</v>
      </c>
      <c r="R123" s="160" t="str">
        <f t="shared" si="55"/>
        <v>N/A</v>
      </c>
    </row>
    <row r="124" spans="1:19" x14ac:dyDescent="0.2">
      <c r="A124" s="91" t="s">
        <v>323</v>
      </c>
      <c r="B124" s="89" t="s">
        <v>324</v>
      </c>
      <c r="C124" s="103" t="s">
        <v>325</v>
      </c>
      <c r="D124" s="165">
        <v>0.5</v>
      </c>
      <c r="E124" s="166" t="s">
        <v>310</v>
      </c>
      <c r="F124" s="91"/>
      <c r="G124" s="105" t="s">
        <v>326</v>
      </c>
      <c r="H124" s="160" t="e">
        <f t="shared" ref="H124:R124" si="56">IF(H116&lt;$D$124,$E$124,H51/H4)</f>
        <v>#DIV/0!</v>
      </c>
      <c r="I124" s="160" t="e">
        <f t="shared" si="56"/>
        <v>#DIV/0!</v>
      </c>
      <c r="J124" s="160" t="e">
        <f t="shared" si="56"/>
        <v>#DIV/0!</v>
      </c>
      <c r="K124" s="160" t="str">
        <f t="shared" si="56"/>
        <v>N/A</v>
      </c>
      <c r="L124" s="160" t="str">
        <f t="shared" si="56"/>
        <v>N/A</v>
      </c>
      <c r="M124" s="160" t="str">
        <f t="shared" si="56"/>
        <v>N/A</v>
      </c>
      <c r="N124" s="160" t="str">
        <f t="shared" si="56"/>
        <v>N/A</v>
      </c>
      <c r="O124" s="160" t="str">
        <f t="shared" si="56"/>
        <v>N/A</v>
      </c>
      <c r="P124" s="160" t="str">
        <f t="shared" si="56"/>
        <v>N/A</v>
      </c>
      <c r="Q124" s="160" t="str">
        <f t="shared" si="56"/>
        <v>N/A</v>
      </c>
      <c r="R124" s="160" t="str">
        <f t="shared" si="56"/>
        <v>N/A</v>
      </c>
    </row>
    <row r="125" spans="1:19" x14ac:dyDescent="0.2">
      <c r="A125" s="91" t="s">
        <v>327</v>
      </c>
      <c r="B125" s="89" t="s">
        <v>328</v>
      </c>
      <c r="C125" s="103" t="s">
        <v>329</v>
      </c>
      <c r="D125" s="165">
        <v>0.5</v>
      </c>
      <c r="E125" s="166" t="s">
        <v>310</v>
      </c>
      <c r="F125" s="91"/>
      <c r="G125" s="143" t="s">
        <v>330</v>
      </c>
      <c r="H125" s="160" t="e">
        <f t="shared" ref="H125:R125" si="57">IF(H116&lt;$D$125,$E$125,H51/H27)</f>
        <v>#DIV/0!</v>
      </c>
      <c r="I125" s="160" t="e">
        <f t="shared" si="57"/>
        <v>#DIV/0!</v>
      </c>
      <c r="J125" s="160" t="e">
        <f t="shared" si="57"/>
        <v>#DIV/0!</v>
      </c>
      <c r="K125" s="160" t="str">
        <f t="shared" si="57"/>
        <v>N/A</v>
      </c>
      <c r="L125" s="160" t="str">
        <f t="shared" si="57"/>
        <v>N/A</v>
      </c>
      <c r="M125" s="160" t="str">
        <f t="shared" si="57"/>
        <v>N/A</v>
      </c>
      <c r="N125" s="160" t="str">
        <f t="shared" si="57"/>
        <v>N/A</v>
      </c>
      <c r="O125" s="160" t="str">
        <f t="shared" si="57"/>
        <v>N/A</v>
      </c>
      <c r="P125" s="160" t="str">
        <f t="shared" si="57"/>
        <v>N/A</v>
      </c>
      <c r="Q125" s="160" t="str">
        <f t="shared" si="57"/>
        <v>N/A</v>
      </c>
      <c r="R125" s="160" t="str">
        <f t="shared" si="57"/>
        <v>N/A</v>
      </c>
    </row>
    <row r="126" spans="1:19" x14ac:dyDescent="0.2">
      <c r="C126" s="162"/>
      <c r="D126" s="162"/>
      <c r="E126" s="163"/>
      <c r="F126" s="91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1:19" x14ac:dyDescent="0.2">
      <c r="F127" s="91"/>
      <c r="H127" s="129">
        <f>H119</f>
        <v>2011</v>
      </c>
      <c r="I127" s="129">
        <f t="shared" ref="I127:R127" si="58">I119</f>
        <v>2012</v>
      </c>
      <c r="J127" s="129">
        <f t="shared" si="58"/>
        <v>2013</v>
      </c>
      <c r="K127" s="129">
        <f t="shared" si="58"/>
        <v>2014</v>
      </c>
      <c r="L127" s="129">
        <f t="shared" si="58"/>
        <v>2015</v>
      </c>
      <c r="M127" s="129">
        <f t="shared" si="58"/>
        <v>2016</v>
      </c>
      <c r="N127" s="129">
        <f t="shared" si="58"/>
        <v>2017</v>
      </c>
      <c r="O127" s="129">
        <f t="shared" si="58"/>
        <v>2018</v>
      </c>
      <c r="P127" s="129">
        <f t="shared" si="58"/>
        <v>2019</v>
      </c>
      <c r="Q127" s="129">
        <f t="shared" si="58"/>
        <v>2020</v>
      </c>
      <c r="R127" s="129">
        <f t="shared" si="58"/>
        <v>2021</v>
      </c>
    </row>
    <row r="128" spans="1:19" x14ac:dyDescent="0.2">
      <c r="G128" s="167" t="s">
        <v>331</v>
      </c>
      <c r="H128" s="168">
        <f t="shared" ref="H128:R128" si="59">H33</f>
        <v>0</v>
      </c>
      <c r="I128" s="168">
        <f t="shared" si="59"/>
        <v>0</v>
      </c>
      <c r="J128" s="168">
        <f t="shared" si="59"/>
        <v>0</v>
      </c>
      <c r="K128" s="168">
        <f t="shared" si="59"/>
        <v>6.6819999999999995</v>
      </c>
      <c r="L128" s="168">
        <f t="shared" si="59"/>
        <v>187.84499999999997</v>
      </c>
      <c r="M128" s="168">
        <f t="shared" si="59"/>
        <v>277</v>
      </c>
      <c r="N128" s="168">
        <f t="shared" si="59"/>
        <v>196</v>
      </c>
      <c r="O128" s="168">
        <f t="shared" si="59"/>
        <v>196</v>
      </c>
      <c r="P128" s="168">
        <f t="shared" si="59"/>
        <v>196</v>
      </c>
      <c r="Q128" s="168">
        <f t="shared" si="59"/>
        <v>196</v>
      </c>
      <c r="R128" s="168">
        <f t="shared" si="59"/>
        <v>197</v>
      </c>
    </row>
    <row r="129" spans="3:19" x14ac:dyDescent="0.2">
      <c r="G129" s="167" t="s">
        <v>332</v>
      </c>
      <c r="H129" s="168">
        <f t="shared" ref="H129:R130" si="60">H35</f>
        <v>0</v>
      </c>
      <c r="I129" s="168">
        <f t="shared" si="60"/>
        <v>0</v>
      </c>
      <c r="J129" s="168">
        <f t="shared" si="60"/>
        <v>0</v>
      </c>
      <c r="K129" s="168">
        <f t="shared" si="60"/>
        <v>2.8159999999999998</v>
      </c>
      <c r="L129" s="168">
        <f t="shared" si="60"/>
        <v>28.295999999999999</v>
      </c>
      <c r="M129" s="168">
        <f t="shared" si="60"/>
        <v>18</v>
      </c>
      <c r="N129" s="168">
        <f t="shared" si="60"/>
        <v>24</v>
      </c>
      <c r="O129" s="168">
        <f t="shared" si="60"/>
        <v>24</v>
      </c>
      <c r="P129" s="168">
        <f t="shared" si="60"/>
        <v>24</v>
      </c>
      <c r="Q129" s="168">
        <f t="shared" si="60"/>
        <v>24</v>
      </c>
      <c r="R129" s="168">
        <f t="shared" si="60"/>
        <v>25</v>
      </c>
    </row>
    <row r="130" spans="3:19" x14ac:dyDescent="0.2">
      <c r="G130" s="167" t="s">
        <v>333</v>
      </c>
      <c r="H130" s="168">
        <f t="shared" si="60"/>
        <v>0</v>
      </c>
      <c r="I130" s="168">
        <f t="shared" si="60"/>
        <v>0</v>
      </c>
      <c r="J130" s="168">
        <f t="shared" si="60"/>
        <v>0</v>
      </c>
      <c r="K130" s="168">
        <f t="shared" si="60"/>
        <v>3.609</v>
      </c>
      <c r="L130" s="168">
        <f t="shared" si="60"/>
        <v>159.34899999999999</v>
      </c>
      <c r="M130" s="168">
        <f t="shared" si="60"/>
        <v>259</v>
      </c>
      <c r="N130" s="168">
        <f t="shared" si="60"/>
        <v>172</v>
      </c>
      <c r="O130" s="168">
        <f t="shared" si="60"/>
        <v>172</v>
      </c>
      <c r="P130" s="168">
        <f t="shared" si="60"/>
        <v>172</v>
      </c>
      <c r="Q130" s="168">
        <f t="shared" si="60"/>
        <v>172</v>
      </c>
      <c r="R130" s="168">
        <f t="shared" si="60"/>
        <v>172</v>
      </c>
    </row>
    <row r="131" spans="3:19" x14ac:dyDescent="0.2">
      <c r="G131" s="167" t="s">
        <v>334</v>
      </c>
      <c r="H131" s="168">
        <f t="shared" ref="H131:R131" si="61">H38+H41</f>
        <v>0</v>
      </c>
      <c r="I131" s="168">
        <f t="shared" si="61"/>
        <v>0</v>
      </c>
      <c r="J131" s="168">
        <f t="shared" si="61"/>
        <v>0</v>
      </c>
      <c r="K131" s="168">
        <f t="shared" si="61"/>
        <v>-26.321999999999999</v>
      </c>
      <c r="L131" s="168">
        <f t="shared" si="61"/>
        <v>-196.63400000000001</v>
      </c>
      <c r="M131" s="168">
        <f t="shared" si="61"/>
        <v>-249</v>
      </c>
      <c r="N131" s="168">
        <f t="shared" si="61"/>
        <v>-227</v>
      </c>
      <c r="O131" s="168">
        <f t="shared" si="61"/>
        <v>-227</v>
      </c>
      <c r="P131" s="168">
        <f t="shared" si="61"/>
        <v>-227</v>
      </c>
      <c r="Q131" s="168">
        <f t="shared" si="61"/>
        <v>-227</v>
      </c>
      <c r="R131" s="168">
        <f t="shared" si="61"/>
        <v>-228</v>
      </c>
    </row>
    <row r="132" spans="3:19" x14ac:dyDescent="0.2">
      <c r="G132" s="167" t="s">
        <v>335</v>
      </c>
      <c r="H132" s="168">
        <f t="shared" ref="H132:R132" si="62">H41</f>
        <v>0</v>
      </c>
      <c r="I132" s="168">
        <f t="shared" si="62"/>
        <v>0</v>
      </c>
      <c r="J132" s="168">
        <f t="shared" si="62"/>
        <v>0</v>
      </c>
      <c r="K132" s="168">
        <f t="shared" si="62"/>
        <v>-26.321999999999999</v>
      </c>
      <c r="L132" s="168">
        <f t="shared" si="62"/>
        <v>-196.63400000000001</v>
      </c>
      <c r="M132" s="168">
        <f t="shared" si="62"/>
        <v>-249</v>
      </c>
      <c r="N132" s="168">
        <f t="shared" si="62"/>
        <v>-227</v>
      </c>
      <c r="O132" s="168">
        <f t="shared" si="62"/>
        <v>-227</v>
      </c>
      <c r="P132" s="168">
        <f t="shared" si="62"/>
        <v>-227</v>
      </c>
      <c r="Q132" s="168">
        <f t="shared" si="62"/>
        <v>-227</v>
      </c>
      <c r="R132" s="168">
        <f t="shared" si="62"/>
        <v>-228</v>
      </c>
    </row>
    <row r="133" spans="3:19" x14ac:dyDescent="0.2">
      <c r="G133" s="167" t="s">
        <v>336</v>
      </c>
      <c r="H133" s="168">
        <f t="shared" ref="H133:R133" si="63">H38</f>
        <v>0</v>
      </c>
      <c r="I133" s="168">
        <f t="shared" si="63"/>
        <v>0</v>
      </c>
      <c r="J133" s="168">
        <f t="shared" si="63"/>
        <v>0</v>
      </c>
      <c r="K133" s="168">
        <f t="shared" si="63"/>
        <v>0</v>
      </c>
      <c r="L133" s="168">
        <f t="shared" si="63"/>
        <v>0</v>
      </c>
      <c r="M133" s="168">
        <f t="shared" si="63"/>
        <v>0</v>
      </c>
      <c r="N133" s="168">
        <f t="shared" si="63"/>
        <v>0</v>
      </c>
      <c r="O133" s="168">
        <f t="shared" si="63"/>
        <v>0</v>
      </c>
      <c r="P133" s="168">
        <f t="shared" si="63"/>
        <v>0</v>
      </c>
      <c r="Q133" s="168">
        <f t="shared" si="63"/>
        <v>0</v>
      </c>
      <c r="R133" s="168">
        <f t="shared" si="63"/>
        <v>0</v>
      </c>
    </row>
    <row r="134" spans="3:19" x14ac:dyDescent="0.2">
      <c r="G134" s="167" t="s">
        <v>337</v>
      </c>
      <c r="H134" s="168">
        <f t="shared" ref="H134:R134" si="64">H46</f>
        <v>0</v>
      </c>
      <c r="I134" s="168">
        <f t="shared" si="64"/>
        <v>0</v>
      </c>
      <c r="J134" s="168">
        <f t="shared" si="64"/>
        <v>0</v>
      </c>
      <c r="K134" s="168">
        <f t="shared" si="64"/>
        <v>-19.64</v>
      </c>
      <c r="L134" s="168">
        <f t="shared" si="64"/>
        <v>-8.7890000000000441</v>
      </c>
      <c r="M134" s="168">
        <f t="shared" si="64"/>
        <v>28</v>
      </c>
      <c r="N134" s="168">
        <f t="shared" si="64"/>
        <v>-31</v>
      </c>
      <c r="O134" s="168">
        <f t="shared" si="64"/>
        <v>-31</v>
      </c>
      <c r="P134" s="168">
        <f t="shared" si="64"/>
        <v>-31</v>
      </c>
      <c r="Q134" s="168">
        <f t="shared" si="64"/>
        <v>-31</v>
      </c>
      <c r="R134" s="168">
        <f t="shared" si="64"/>
        <v>-31</v>
      </c>
    </row>
    <row r="135" spans="3:19" x14ac:dyDescent="0.2">
      <c r="G135" s="167" t="s">
        <v>338</v>
      </c>
      <c r="H135" s="168">
        <f t="shared" ref="H135:R135" si="65">H51</f>
        <v>0</v>
      </c>
      <c r="I135" s="168">
        <f t="shared" si="65"/>
        <v>0</v>
      </c>
      <c r="J135" s="168">
        <f t="shared" si="65"/>
        <v>0</v>
      </c>
      <c r="K135" s="168">
        <f t="shared" si="65"/>
        <v>-19.64</v>
      </c>
      <c r="L135" s="168">
        <f t="shared" si="65"/>
        <v>-8.6330000000000435</v>
      </c>
      <c r="M135" s="168">
        <f t="shared" si="65"/>
        <v>28</v>
      </c>
      <c r="N135" s="168">
        <f t="shared" si="65"/>
        <v>-31</v>
      </c>
      <c r="O135" s="168">
        <f t="shared" si="65"/>
        <v>-31</v>
      </c>
      <c r="P135" s="168">
        <f t="shared" si="65"/>
        <v>-31</v>
      </c>
      <c r="Q135" s="168">
        <f t="shared" si="65"/>
        <v>-31</v>
      </c>
      <c r="R135" s="168">
        <f t="shared" si="65"/>
        <v>-31</v>
      </c>
    </row>
    <row r="136" spans="3:19" x14ac:dyDescent="0.2">
      <c r="G136" s="167" t="s">
        <v>339</v>
      </c>
      <c r="H136" s="168">
        <f t="shared" ref="H136:R137" si="66">H4</f>
        <v>0</v>
      </c>
      <c r="I136" s="168">
        <f t="shared" si="66"/>
        <v>0</v>
      </c>
      <c r="J136" s="168">
        <f t="shared" si="66"/>
        <v>0</v>
      </c>
      <c r="K136" s="168">
        <f t="shared" si="66"/>
        <v>216.09800000000001</v>
      </c>
      <c r="L136" s="168">
        <f t="shared" si="66"/>
        <v>271.505</v>
      </c>
      <c r="M136" s="168">
        <f t="shared" si="66"/>
        <v>265</v>
      </c>
      <c r="N136" s="168">
        <f t="shared" si="66"/>
        <v>229</v>
      </c>
      <c r="O136" s="168">
        <f t="shared" si="66"/>
        <v>198</v>
      </c>
      <c r="P136" s="168">
        <f t="shared" si="66"/>
        <v>149</v>
      </c>
      <c r="Q136" s="168">
        <f t="shared" si="66"/>
        <v>119</v>
      </c>
      <c r="R136" s="168">
        <f t="shared" si="66"/>
        <v>88</v>
      </c>
    </row>
    <row r="137" spans="3:19" x14ac:dyDescent="0.2">
      <c r="G137" s="167" t="s">
        <v>340</v>
      </c>
      <c r="H137" s="168">
        <f t="shared" si="66"/>
        <v>0</v>
      </c>
      <c r="I137" s="168">
        <f t="shared" si="66"/>
        <v>0</v>
      </c>
      <c r="J137" s="168">
        <f t="shared" si="66"/>
        <v>0</v>
      </c>
      <c r="K137" s="168">
        <f t="shared" si="66"/>
        <v>18.199000000000002</v>
      </c>
      <c r="L137" s="168">
        <f t="shared" si="66"/>
        <v>83.010999999999996</v>
      </c>
      <c r="M137" s="168">
        <f t="shared" si="66"/>
        <v>34</v>
      </c>
      <c r="N137" s="168">
        <f t="shared" si="66"/>
        <v>28</v>
      </c>
      <c r="O137" s="168">
        <f t="shared" si="66"/>
        <v>28</v>
      </c>
      <c r="P137" s="168">
        <f t="shared" si="66"/>
        <v>10</v>
      </c>
      <c r="Q137" s="168">
        <f t="shared" si="66"/>
        <v>11</v>
      </c>
      <c r="R137" s="168">
        <f t="shared" si="66"/>
        <v>11</v>
      </c>
    </row>
    <row r="138" spans="3:19" x14ac:dyDescent="0.2">
      <c r="G138" s="167" t="s">
        <v>341</v>
      </c>
      <c r="H138" s="168">
        <f t="shared" ref="H138:R138" si="67">H10</f>
        <v>0</v>
      </c>
      <c r="I138" s="168">
        <f t="shared" si="67"/>
        <v>0</v>
      </c>
      <c r="J138" s="168">
        <f t="shared" si="67"/>
        <v>0</v>
      </c>
      <c r="K138" s="168">
        <f t="shared" si="67"/>
        <v>197.899</v>
      </c>
      <c r="L138" s="168">
        <f t="shared" si="67"/>
        <v>188.494</v>
      </c>
      <c r="M138" s="168">
        <f t="shared" si="67"/>
        <v>231</v>
      </c>
      <c r="N138" s="168">
        <f t="shared" si="67"/>
        <v>201</v>
      </c>
      <c r="O138" s="168">
        <f t="shared" si="67"/>
        <v>170</v>
      </c>
      <c r="P138" s="168">
        <f t="shared" si="67"/>
        <v>139</v>
      </c>
      <c r="Q138" s="168">
        <f t="shared" si="67"/>
        <v>108</v>
      </c>
      <c r="R138" s="168">
        <f t="shared" si="67"/>
        <v>77</v>
      </c>
    </row>
    <row r="139" spans="3:19" x14ac:dyDescent="0.2">
      <c r="G139" s="167" t="s">
        <v>342</v>
      </c>
      <c r="H139" s="168">
        <f t="shared" ref="H139:R140" si="68">H19</f>
        <v>0</v>
      </c>
      <c r="I139" s="168">
        <f t="shared" si="68"/>
        <v>0</v>
      </c>
      <c r="J139" s="168">
        <f t="shared" si="68"/>
        <v>0</v>
      </c>
      <c r="K139" s="168">
        <f t="shared" si="68"/>
        <v>16.380000000000003</v>
      </c>
      <c r="L139" s="168">
        <f t="shared" si="68"/>
        <v>80.385999999999996</v>
      </c>
      <c r="M139" s="168">
        <f t="shared" si="68"/>
        <v>46</v>
      </c>
      <c r="N139" s="168">
        <f t="shared" si="68"/>
        <v>41</v>
      </c>
      <c r="O139" s="168">
        <f t="shared" si="68"/>
        <v>41</v>
      </c>
      <c r="P139" s="168">
        <f t="shared" si="68"/>
        <v>23</v>
      </c>
      <c r="Q139" s="168">
        <f t="shared" si="68"/>
        <v>24</v>
      </c>
      <c r="R139" s="168">
        <f t="shared" si="68"/>
        <v>24</v>
      </c>
    </row>
    <row r="140" spans="3:19" x14ac:dyDescent="0.2">
      <c r="G140" s="167" t="s">
        <v>343</v>
      </c>
      <c r="H140" s="168">
        <f t="shared" si="68"/>
        <v>0</v>
      </c>
      <c r="I140" s="168">
        <f t="shared" si="68"/>
        <v>0</v>
      </c>
      <c r="J140" s="168">
        <f t="shared" si="68"/>
        <v>0</v>
      </c>
      <c r="K140" s="168">
        <f t="shared" si="68"/>
        <v>16.38</v>
      </c>
      <c r="L140" s="168">
        <f t="shared" si="68"/>
        <v>80.385999999999996</v>
      </c>
      <c r="M140" s="168">
        <f t="shared" si="68"/>
        <v>0</v>
      </c>
      <c r="N140" s="168">
        <f t="shared" si="68"/>
        <v>0</v>
      </c>
      <c r="O140" s="168">
        <f t="shared" si="68"/>
        <v>0</v>
      </c>
      <c r="P140" s="168">
        <f t="shared" si="68"/>
        <v>0</v>
      </c>
      <c r="Q140" s="168">
        <f t="shared" si="68"/>
        <v>0</v>
      </c>
      <c r="R140" s="168">
        <f t="shared" si="68"/>
        <v>0</v>
      </c>
    </row>
    <row r="141" spans="3:19" x14ac:dyDescent="0.2">
      <c r="G141" s="167" t="s">
        <v>344</v>
      </c>
      <c r="H141" s="168">
        <f t="shared" ref="H141:R141" si="69">H24</f>
        <v>0</v>
      </c>
      <c r="I141" s="168">
        <f t="shared" si="69"/>
        <v>0</v>
      </c>
      <c r="J141" s="168">
        <f t="shared" si="69"/>
        <v>0</v>
      </c>
      <c r="K141" s="168">
        <f t="shared" si="69"/>
        <v>0</v>
      </c>
      <c r="L141" s="168">
        <f t="shared" si="69"/>
        <v>0</v>
      </c>
      <c r="M141" s="168">
        <f t="shared" si="69"/>
        <v>0</v>
      </c>
      <c r="N141" s="168">
        <f t="shared" si="69"/>
        <v>0</v>
      </c>
      <c r="O141" s="168">
        <f t="shared" si="69"/>
        <v>0</v>
      </c>
      <c r="P141" s="168">
        <f t="shared" si="69"/>
        <v>0</v>
      </c>
      <c r="Q141" s="168">
        <f t="shared" si="69"/>
        <v>0</v>
      </c>
      <c r="R141" s="168">
        <f t="shared" si="69"/>
        <v>0</v>
      </c>
    </row>
    <row r="142" spans="3:19" x14ac:dyDescent="0.2">
      <c r="G142" s="167" t="s">
        <v>345</v>
      </c>
      <c r="H142" s="168">
        <f t="shared" ref="H142:R142" si="70">H27</f>
        <v>0</v>
      </c>
      <c r="I142" s="168">
        <f t="shared" si="70"/>
        <v>0</v>
      </c>
      <c r="J142" s="168">
        <f t="shared" si="70"/>
        <v>0</v>
      </c>
      <c r="K142" s="168">
        <f t="shared" si="70"/>
        <v>199.71700000000001</v>
      </c>
      <c r="L142" s="168">
        <f t="shared" si="70"/>
        <v>191.119</v>
      </c>
      <c r="M142" s="168">
        <f t="shared" si="70"/>
        <v>219</v>
      </c>
      <c r="N142" s="168">
        <f t="shared" si="70"/>
        <v>188</v>
      </c>
      <c r="O142" s="168">
        <f t="shared" si="70"/>
        <v>157</v>
      </c>
      <c r="P142" s="168">
        <f t="shared" si="70"/>
        <v>126</v>
      </c>
      <c r="Q142" s="168">
        <f t="shared" si="70"/>
        <v>95</v>
      </c>
      <c r="R142" s="168">
        <f t="shared" si="70"/>
        <v>64</v>
      </c>
    </row>
    <row r="143" spans="3:19" x14ac:dyDescent="0.2">
      <c r="C143" s="162"/>
      <c r="D143" s="162"/>
      <c r="E143" s="16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</row>
    <row r="144" spans="3:19" x14ac:dyDescent="0.2">
      <c r="C144" s="103" t="s">
        <v>346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</row>
    <row r="145" spans="3:18" x14ac:dyDescent="0.2">
      <c r="C145" s="103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</row>
    <row r="146" spans="3:18" x14ac:dyDescent="0.2">
      <c r="C146" s="103" t="s">
        <v>347</v>
      </c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</row>
    <row r="147" spans="3:18" x14ac:dyDescent="0.2">
      <c r="C147" s="103" t="s">
        <v>348</v>
      </c>
      <c r="F147" s="10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</row>
    <row r="148" spans="3:18" x14ac:dyDescent="0.2">
      <c r="C148" s="103"/>
      <c r="F148" s="109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</row>
    <row r="149" spans="3:18" x14ac:dyDescent="0.2">
      <c r="C149" s="103" t="s">
        <v>349</v>
      </c>
      <c r="F149" s="109"/>
    </row>
    <row r="150" spans="3:18" x14ac:dyDescent="0.2">
      <c r="C150" s="103" t="s">
        <v>350</v>
      </c>
      <c r="F150" s="109"/>
    </row>
  </sheetData>
  <sheetProtection selectLockedCells="1" selectUnlockedCells="1"/>
  <mergeCells count="3">
    <mergeCell ref="K2:L2"/>
    <mergeCell ref="M2:R2"/>
    <mergeCell ref="D87:E87"/>
  </mergeCells>
  <conditionalFormatting sqref="H116:Q116">
    <cfRule type="cellIs" dxfId="927" priority="1" stopIfTrue="1" operator="greaterThan">
      <formula>$E$116</formula>
    </cfRule>
    <cfRule type="cellIs" dxfId="926" priority="2" stopIfTrue="1" operator="lessThanOrEqual">
      <formula>$E$116</formula>
    </cfRule>
  </conditionalFormatting>
  <conditionalFormatting sqref="H118:Q118">
    <cfRule type="cellIs" dxfId="925" priority="3" stopIfTrue="1" operator="lessThanOrEqual">
      <formula>$E$118</formula>
    </cfRule>
    <cfRule type="cellIs" dxfId="924" priority="4" stopIfTrue="1" operator="greaterThan">
      <formula>$E$118</formula>
    </cfRule>
  </conditionalFormatting>
  <conditionalFormatting sqref="H99:Q99">
    <cfRule type="cellIs" dxfId="923" priority="5" stopIfTrue="1" operator="greaterThan">
      <formula>$E$99</formula>
    </cfRule>
    <cfRule type="cellIs" dxfId="922" priority="6" stopIfTrue="1" operator="lessThanOrEqual">
      <formula>$E$99</formula>
    </cfRule>
  </conditionalFormatting>
  <conditionalFormatting sqref="H102:Q102">
    <cfRule type="cellIs" dxfId="921" priority="7" stopIfTrue="1" operator="greaterThanOrEqual">
      <formula>$E$102</formula>
    </cfRule>
    <cfRule type="cellIs" dxfId="920" priority="8" stopIfTrue="1" operator="lessThan">
      <formula>$E$102</formula>
    </cfRule>
  </conditionalFormatting>
  <conditionalFormatting sqref="H104:Q104">
    <cfRule type="cellIs" dxfId="919" priority="9" stopIfTrue="1" operator="lessThan">
      <formula>$E$104</formula>
    </cfRule>
    <cfRule type="cellIs" dxfId="918" priority="10" stopIfTrue="1" operator="greaterThanOrEqual">
      <formula>$E$104</formula>
    </cfRule>
  </conditionalFormatting>
  <conditionalFormatting sqref="H103:Q103">
    <cfRule type="cellIs" dxfId="917" priority="11" stopIfTrue="1" operator="greaterThan">
      <formula>$E$103</formula>
    </cfRule>
    <cfRule type="cellIs" dxfId="916" priority="12" stopIfTrue="1" operator="lessThanOrEqual">
      <formula>$E$103</formula>
    </cfRule>
  </conditionalFormatting>
  <conditionalFormatting sqref="H100:Q100">
    <cfRule type="cellIs" dxfId="915" priority="13" stopIfTrue="1" operator="between">
      <formula>$D$100</formula>
      <formula>$E$100</formula>
    </cfRule>
    <cfRule type="cellIs" dxfId="914" priority="14" stopIfTrue="1" operator="lessThanOrEqual">
      <formula>$D$100</formula>
    </cfRule>
    <cfRule type="cellIs" dxfId="913" priority="15" stopIfTrue="1" operator="greaterThan">
      <formula>$E$100</formula>
    </cfRule>
  </conditionalFormatting>
  <conditionalFormatting sqref="H117:Q117">
    <cfRule type="cellIs" dxfId="912" priority="16" stopIfTrue="1" operator="greaterThan">
      <formula>$E$117</formula>
    </cfRule>
    <cfRule type="cellIs" dxfId="911" priority="17" stopIfTrue="1" operator="lessThanOrEqual">
      <formula>$E$117</formula>
    </cfRule>
  </conditionalFormatting>
  <conditionalFormatting sqref="H107:Q107">
    <cfRule type="cellIs" dxfId="910" priority="18" stopIfTrue="1" operator="greaterThan">
      <formula>$E$107</formula>
    </cfRule>
    <cfRule type="cellIs" dxfId="909" priority="19" stopIfTrue="1" operator="lessThanOrEqual">
      <formula>$E$107</formula>
    </cfRule>
  </conditionalFormatting>
  <conditionalFormatting sqref="H108:Q108">
    <cfRule type="cellIs" dxfId="908" priority="20" stopIfTrue="1" operator="lessThan">
      <formula>$E$108</formula>
    </cfRule>
    <cfRule type="cellIs" dxfId="907" priority="21" stopIfTrue="1" operator="greaterThanOrEqual">
      <formula>$E$108</formula>
    </cfRule>
  </conditionalFormatting>
  <conditionalFormatting sqref="H93:Q93">
    <cfRule type="cellIs" dxfId="906" priority="22" stopIfTrue="1" operator="lessThan">
      <formula>$D$93</formula>
    </cfRule>
    <cfRule type="cellIs" dxfId="905" priority="23" stopIfTrue="1" operator="between">
      <formula>$D$93</formula>
      <formula>$E$93</formula>
    </cfRule>
    <cfRule type="cellIs" dxfId="904" priority="24" stopIfTrue="1" operator="greaterThan">
      <formula>$E$93</formula>
    </cfRule>
  </conditionalFormatting>
  <conditionalFormatting sqref="H114:Q114">
    <cfRule type="cellIs" dxfId="903" priority="25" stopIfTrue="1" operator="lessThan">
      <formula>$E$114</formula>
    </cfRule>
    <cfRule type="cellIs" dxfId="902" priority="26" stopIfTrue="1" operator="between">
      <formula>$D$114</formula>
      <formula>$E$114</formula>
    </cfRule>
    <cfRule type="cellIs" dxfId="901" priority="27" stopIfTrue="1" operator="greaterThanOrEqual">
      <formula>$D$114</formula>
    </cfRule>
  </conditionalFormatting>
  <conditionalFormatting sqref="H90:Q90">
    <cfRule type="cellIs" dxfId="900" priority="28" stopIfTrue="1" operator="lessThan">
      <formula>$E$90</formula>
    </cfRule>
    <cfRule type="cellIs" dxfId="899" priority="29" stopIfTrue="1" operator="greaterThan">
      <formula>$E$90</formula>
    </cfRule>
  </conditionalFormatting>
  <conditionalFormatting sqref="R116">
    <cfRule type="cellIs" dxfId="898" priority="30" stopIfTrue="1" operator="greaterThan">
      <formula>$E$116</formula>
    </cfRule>
    <cfRule type="cellIs" dxfId="897" priority="31" stopIfTrue="1" operator="lessThanOrEqual">
      <formula>$E$116</formula>
    </cfRule>
  </conditionalFormatting>
  <conditionalFormatting sqref="R118">
    <cfRule type="cellIs" dxfId="896" priority="32" stopIfTrue="1" operator="lessThanOrEqual">
      <formula>$E$118</formula>
    </cfRule>
    <cfRule type="cellIs" dxfId="895" priority="33" stopIfTrue="1" operator="greaterThan">
      <formula>$E$118</formula>
    </cfRule>
  </conditionalFormatting>
  <conditionalFormatting sqref="R99">
    <cfRule type="cellIs" dxfId="894" priority="34" stopIfTrue="1" operator="greaterThan">
      <formula>$E$99</formula>
    </cfRule>
    <cfRule type="cellIs" dxfId="893" priority="35" stopIfTrue="1" operator="lessThanOrEqual">
      <formula>$E$99</formula>
    </cfRule>
  </conditionalFormatting>
  <conditionalFormatting sqref="R102">
    <cfRule type="cellIs" dxfId="892" priority="36" stopIfTrue="1" operator="greaterThanOrEqual">
      <formula>$E$102</formula>
    </cfRule>
    <cfRule type="cellIs" dxfId="891" priority="37" stopIfTrue="1" operator="lessThan">
      <formula>$E$102</formula>
    </cfRule>
  </conditionalFormatting>
  <conditionalFormatting sqref="R104">
    <cfRule type="cellIs" dxfId="890" priority="38" stopIfTrue="1" operator="lessThan">
      <formula>$E$104</formula>
    </cfRule>
    <cfRule type="cellIs" dxfId="889" priority="39" stopIfTrue="1" operator="greaterThanOrEqual">
      <formula>$E$104</formula>
    </cfRule>
  </conditionalFormatting>
  <conditionalFormatting sqref="R103">
    <cfRule type="cellIs" dxfId="888" priority="40" stopIfTrue="1" operator="greaterThan">
      <formula>$E$103</formula>
    </cfRule>
    <cfRule type="cellIs" dxfId="887" priority="41" stopIfTrue="1" operator="lessThanOrEqual">
      <formula>$E$103</formula>
    </cfRule>
  </conditionalFormatting>
  <conditionalFormatting sqref="R100">
    <cfRule type="cellIs" dxfId="886" priority="42" stopIfTrue="1" operator="between">
      <formula>$D$100</formula>
      <formula>$E$100</formula>
    </cfRule>
    <cfRule type="cellIs" dxfId="885" priority="43" stopIfTrue="1" operator="lessThanOrEqual">
      <formula>$D$100</formula>
    </cfRule>
    <cfRule type="cellIs" dxfId="884" priority="44" stopIfTrue="1" operator="greaterThan">
      <formula>$E$100</formula>
    </cfRule>
  </conditionalFormatting>
  <conditionalFormatting sqref="R117">
    <cfRule type="cellIs" dxfId="883" priority="45" stopIfTrue="1" operator="greaterThan">
      <formula>$E$117</formula>
    </cfRule>
    <cfRule type="cellIs" dxfId="882" priority="46" stopIfTrue="1" operator="lessThanOrEqual">
      <formula>$E$117</formula>
    </cfRule>
  </conditionalFormatting>
  <conditionalFormatting sqref="R107">
    <cfRule type="cellIs" dxfId="881" priority="47" stopIfTrue="1" operator="greaterThan">
      <formula>$E$107</formula>
    </cfRule>
    <cfRule type="cellIs" dxfId="880" priority="48" stopIfTrue="1" operator="lessThanOrEqual">
      <formula>$E$107</formula>
    </cfRule>
  </conditionalFormatting>
  <conditionalFormatting sqref="R108">
    <cfRule type="cellIs" dxfId="879" priority="49" stopIfTrue="1" operator="lessThan">
      <formula>$E$108</formula>
    </cfRule>
    <cfRule type="cellIs" dxfId="878" priority="50" stopIfTrue="1" operator="greaterThanOrEqual">
      <formula>$E$108</formula>
    </cfRule>
  </conditionalFormatting>
  <conditionalFormatting sqref="R93">
    <cfRule type="cellIs" dxfId="877" priority="51" stopIfTrue="1" operator="lessThan">
      <formula>$D$93</formula>
    </cfRule>
    <cfRule type="cellIs" dxfId="876" priority="52" stopIfTrue="1" operator="between">
      <formula>$D$93</formula>
      <formula>$E$93</formula>
    </cfRule>
    <cfRule type="cellIs" dxfId="875" priority="53" stopIfTrue="1" operator="greaterThan">
      <formula>$E$93</formula>
    </cfRule>
  </conditionalFormatting>
  <conditionalFormatting sqref="R114">
    <cfRule type="cellIs" dxfId="874" priority="54" stopIfTrue="1" operator="lessThan">
      <formula>$E$114</formula>
    </cfRule>
    <cfRule type="cellIs" dxfId="873" priority="55" stopIfTrue="1" operator="between">
      <formula>$D$114</formula>
      <formula>$E$114</formula>
    </cfRule>
    <cfRule type="cellIs" dxfId="872" priority="56" stopIfTrue="1" operator="greaterThanOrEqual">
      <formula>$D$114</formula>
    </cfRule>
  </conditionalFormatting>
  <conditionalFormatting sqref="R90">
    <cfRule type="cellIs" dxfId="871" priority="57" stopIfTrue="1" operator="lessThan">
      <formula>$E$90</formula>
    </cfRule>
    <cfRule type="cellIs" dxfId="870" priority="58" stopIfTrue="1" operator="greaterThan">
      <formula>$E$90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0"/>
  <sheetViews>
    <sheetView topLeftCell="G1" zoomScaleNormal="100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29.5703125" style="48" customWidth="1"/>
    <col min="8" max="8" width="8.42578125" style="4" customWidth="1"/>
    <col min="9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29.5703125" style="4" customWidth="1"/>
    <col min="264" max="264" width="8.42578125" style="4" customWidth="1"/>
    <col min="265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29.5703125" style="4" customWidth="1"/>
    <col min="520" max="520" width="8.42578125" style="4" customWidth="1"/>
    <col min="521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29.5703125" style="4" customWidth="1"/>
    <col min="776" max="776" width="8.42578125" style="4" customWidth="1"/>
    <col min="777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29.5703125" style="4" customWidth="1"/>
    <col min="1032" max="1032" width="8.42578125" style="4" customWidth="1"/>
    <col min="1033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29.5703125" style="4" customWidth="1"/>
    <col min="1288" max="1288" width="8.42578125" style="4" customWidth="1"/>
    <col min="1289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29.5703125" style="4" customWidth="1"/>
    <col min="1544" max="1544" width="8.42578125" style="4" customWidth="1"/>
    <col min="1545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29.5703125" style="4" customWidth="1"/>
    <col min="1800" max="1800" width="8.42578125" style="4" customWidth="1"/>
    <col min="1801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29.5703125" style="4" customWidth="1"/>
    <col min="2056" max="2056" width="8.42578125" style="4" customWidth="1"/>
    <col min="2057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29.5703125" style="4" customWidth="1"/>
    <col min="2312" max="2312" width="8.42578125" style="4" customWidth="1"/>
    <col min="2313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29.5703125" style="4" customWidth="1"/>
    <col min="2568" max="2568" width="8.42578125" style="4" customWidth="1"/>
    <col min="2569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29.5703125" style="4" customWidth="1"/>
    <col min="2824" max="2824" width="8.42578125" style="4" customWidth="1"/>
    <col min="2825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29.5703125" style="4" customWidth="1"/>
    <col min="3080" max="3080" width="8.42578125" style="4" customWidth="1"/>
    <col min="3081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29.5703125" style="4" customWidth="1"/>
    <col min="3336" max="3336" width="8.42578125" style="4" customWidth="1"/>
    <col min="3337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29.5703125" style="4" customWidth="1"/>
    <col min="3592" max="3592" width="8.42578125" style="4" customWidth="1"/>
    <col min="3593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29.5703125" style="4" customWidth="1"/>
    <col min="3848" max="3848" width="8.42578125" style="4" customWidth="1"/>
    <col min="3849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29.5703125" style="4" customWidth="1"/>
    <col min="4104" max="4104" width="8.42578125" style="4" customWidth="1"/>
    <col min="4105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29.5703125" style="4" customWidth="1"/>
    <col min="4360" max="4360" width="8.42578125" style="4" customWidth="1"/>
    <col min="4361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29.5703125" style="4" customWidth="1"/>
    <col min="4616" max="4616" width="8.42578125" style="4" customWidth="1"/>
    <col min="4617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29.5703125" style="4" customWidth="1"/>
    <col min="4872" max="4872" width="8.42578125" style="4" customWidth="1"/>
    <col min="4873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29.5703125" style="4" customWidth="1"/>
    <col min="5128" max="5128" width="8.42578125" style="4" customWidth="1"/>
    <col min="5129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29.5703125" style="4" customWidth="1"/>
    <col min="5384" max="5384" width="8.42578125" style="4" customWidth="1"/>
    <col min="5385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29.5703125" style="4" customWidth="1"/>
    <col min="5640" max="5640" width="8.42578125" style="4" customWidth="1"/>
    <col min="5641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29.5703125" style="4" customWidth="1"/>
    <col min="5896" max="5896" width="8.42578125" style="4" customWidth="1"/>
    <col min="5897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29.5703125" style="4" customWidth="1"/>
    <col min="6152" max="6152" width="8.42578125" style="4" customWidth="1"/>
    <col min="6153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29.5703125" style="4" customWidth="1"/>
    <col min="6408" max="6408" width="8.42578125" style="4" customWidth="1"/>
    <col min="6409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29.5703125" style="4" customWidth="1"/>
    <col min="6664" max="6664" width="8.42578125" style="4" customWidth="1"/>
    <col min="6665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29.5703125" style="4" customWidth="1"/>
    <col min="6920" max="6920" width="8.42578125" style="4" customWidth="1"/>
    <col min="6921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29.5703125" style="4" customWidth="1"/>
    <col min="7176" max="7176" width="8.42578125" style="4" customWidth="1"/>
    <col min="7177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29.5703125" style="4" customWidth="1"/>
    <col min="7432" max="7432" width="8.42578125" style="4" customWidth="1"/>
    <col min="7433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29.5703125" style="4" customWidth="1"/>
    <col min="7688" max="7688" width="8.42578125" style="4" customWidth="1"/>
    <col min="7689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29.5703125" style="4" customWidth="1"/>
    <col min="7944" max="7944" width="8.42578125" style="4" customWidth="1"/>
    <col min="7945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29.5703125" style="4" customWidth="1"/>
    <col min="8200" max="8200" width="8.42578125" style="4" customWidth="1"/>
    <col min="8201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29.5703125" style="4" customWidth="1"/>
    <col min="8456" max="8456" width="8.42578125" style="4" customWidth="1"/>
    <col min="8457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29.5703125" style="4" customWidth="1"/>
    <col min="8712" max="8712" width="8.42578125" style="4" customWidth="1"/>
    <col min="8713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29.5703125" style="4" customWidth="1"/>
    <col min="8968" max="8968" width="8.42578125" style="4" customWidth="1"/>
    <col min="8969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29.5703125" style="4" customWidth="1"/>
    <col min="9224" max="9224" width="8.42578125" style="4" customWidth="1"/>
    <col min="9225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29.5703125" style="4" customWidth="1"/>
    <col min="9480" max="9480" width="8.42578125" style="4" customWidth="1"/>
    <col min="9481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29.5703125" style="4" customWidth="1"/>
    <col min="9736" max="9736" width="8.42578125" style="4" customWidth="1"/>
    <col min="9737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29.5703125" style="4" customWidth="1"/>
    <col min="9992" max="9992" width="8.42578125" style="4" customWidth="1"/>
    <col min="9993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29.5703125" style="4" customWidth="1"/>
    <col min="10248" max="10248" width="8.42578125" style="4" customWidth="1"/>
    <col min="10249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29.5703125" style="4" customWidth="1"/>
    <col min="10504" max="10504" width="8.42578125" style="4" customWidth="1"/>
    <col min="10505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29.5703125" style="4" customWidth="1"/>
    <col min="10760" max="10760" width="8.42578125" style="4" customWidth="1"/>
    <col min="10761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29.5703125" style="4" customWidth="1"/>
    <col min="11016" max="11016" width="8.42578125" style="4" customWidth="1"/>
    <col min="11017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29.5703125" style="4" customWidth="1"/>
    <col min="11272" max="11272" width="8.42578125" style="4" customWidth="1"/>
    <col min="11273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29.5703125" style="4" customWidth="1"/>
    <col min="11528" max="11528" width="8.42578125" style="4" customWidth="1"/>
    <col min="11529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29.5703125" style="4" customWidth="1"/>
    <col min="11784" max="11784" width="8.42578125" style="4" customWidth="1"/>
    <col min="11785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29.5703125" style="4" customWidth="1"/>
    <col min="12040" max="12040" width="8.42578125" style="4" customWidth="1"/>
    <col min="12041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29.5703125" style="4" customWidth="1"/>
    <col min="12296" max="12296" width="8.42578125" style="4" customWidth="1"/>
    <col min="12297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29.5703125" style="4" customWidth="1"/>
    <col min="12552" max="12552" width="8.42578125" style="4" customWidth="1"/>
    <col min="12553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29.5703125" style="4" customWidth="1"/>
    <col min="12808" max="12808" width="8.42578125" style="4" customWidth="1"/>
    <col min="12809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29.5703125" style="4" customWidth="1"/>
    <col min="13064" max="13064" width="8.42578125" style="4" customWidth="1"/>
    <col min="13065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29.5703125" style="4" customWidth="1"/>
    <col min="13320" max="13320" width="8.42578125" style="4" customWidth="1"/>
    <col min="13321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29.5703125" style="4" customWidth="1"/>
    <col min="13576" max="13576" width="8.42578125" style="4" customWidth="1"/>
    <col min="13577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29.5703125" style="4" customWidth="1"/>
    <col min="13832" max="13832" width="8.42578125" style="4" customWidth="1"/>
    <col min="13833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29.5703125" style="4" customWidth="1"/>
    <col min="14088" max="14088" width="8.42578125" style="4" customWidth="1"/>
    <col min="14089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29.5703125" style="4" customWidth="1"/>
    <col min="14344" max="14344" width="8.42578125" style="4" customWidth="1"/>
    <col min="14345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29.5703125" style="4" customWidth="1"/>
    <col min="14600" max="14600" width="8.42578125" style="4" customWidth="1"/>
    <col min="14601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29.5703125" style="4" customWidth="1"/>
    <col min="14856" max="14856" width="8.42578125" style="4" customWidth="1"/>
    <col min="14857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29.5703125" style="4" customWidth="1"/>
    <col min="15112" max="15112" width="8.42578125" style="4" customWidth="1"/>
    <col min="15113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29.5703125" style="4" customWidth="1"/>
    <col min="15368" max="15368" width="8.42578125" style="4" customWidth="1"/>
    <col min="15369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29.5703125" style="4" customWidth="1"/>
    <col min="15624" max="15624" width="8.42578125" style="4" customWidth="1"/>
    <col min="15625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29.5703125" style="4" customWidth="1"/>
    <col min="15880" max="15880" width="8.42578125" style="4" customWidth="1"/>
    <col min="15881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29.5703125" style="4" customWidth="1"/>
    <col min="16136" max="16136" width="8.42578125" style="4" customWidth="1"/>
    <col min="16137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204" t="s">
        <v>434</v>
      </c>
      <c r="H2" s="205" t="s">
        <v>435</v>
      </c>
      <c r="I2" s="206"/>
      <c r="J2" s="206"/>
      <c r="K2" s="1260" t="s">
        <v>6</v>
      </c>
      <c r="L2" s="1261"/>
      <c r="M2" s="1262"/>
      <c r="N2" s="1263"/>
      <c r="O2" s="1263"/>
      <c r="P2" s="1263"/>
      <c r="Q2" s="1263"/>
      <c r="R2" s="1264"/>
    </row>
    <row r="3" spans="1:18" x14ac:dyDescent="0.2">
      <c r="A3" s="1"/>
      <c r="B3" s="10"/>
      <c r="C3" s="3"/>
      <c r="D3" s="3"/>
      <c r="E3" s="1"/>
      <c r="F3" s="1"/>
      <c r="G3" s="207" t="s">
        <v>7</v>
      </c>
      <c r="H3" s="208">
        <v>40908</v>
      </c>
      <c r="I3" s="208">
        <v>41274</v>
      </c>
      <c r="J3" s="208">
        <v>41639</v>
      </c>
      <c r="K3" s="208">
        <v>42004</v>
      </c>
      <c r="L3" s="209">
        <v>42369</v>
      </c>
      <c r="M3" s="209">
        <v>42735</v>
      </c>
      <c r="N3" s="209">
        <v>43100</v>
      </c>
      <c r="O3" s="209">
        <v>43465</v>
      </c>
      <c r="P3" s="209">
        <v>43830</v>
      </c>
      <c r="Q3" s="209">
        <v>44196</v>
      </c>
      <c r="R3" s="209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210" t="s">
        <v>9</v>
      </c>
      <c r="H4" s="211">
        <f t="shared" ref="H4:R4" si="0">H5+H10</f>
        <v>2986.212</v>
      </c>
      <c r="I4" s="211">
        <f t="shared" si="0"/>
        <v>2826.5680000000002</v>
      </c>
      <c r="J4" s="211">
        <f t="shared" si="0"/>
        <v>2710.2420000000002</v>
      </c>
      <c r="K4" s="211">
        <f t="shared" si="0"/>
        <v>2947.2060000000001</v>
      </c>
      <c r="L4" s="211">
        <f t="shared" si="0"/>
        <v>2901.5460000000003</v>
      </c>
      <c r="M4" s="211">
        <f t="shared" si="0"/>
        <v>2800.6480000000001</v>
      </c>
      <c r="N4" s="211">
        <f t="shared" si="0"/>
        <v>2653.335</v>
      </c>
      <c r="O4" s="211">
        <f t="shared" si="0"/>
        <v>2846.2610000000004</v>
      </c>
      <c r="P4" s="211">
        <f t="shared" si="0"/>
        <v>2738.7809999999999</v>
      </c>
      <c r="Q4" s="211">
        <f t="shared" si="0"/>
        <v>2870.0160000000001</v>
      </c>
      <c r="R4" s="211">
        <f t="shared" si="0"/>
        <v>2792.4760000000001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211">
        <f t="shared" ref="H5:Q5" si="1">SUM(H6:H9)</f>
        <v>137.78099999999998</v>
      </c>
      <c r="I5" s="211">
        <f t="shared" si="1"/>
        <v>141.69900000000001</v>
      </c>
      <c r="J5" s="211">
        <f t="shared" si="1"/>
        <v>200.78899999999999</v>
      </c>
      <c r="K5" s="211">
        <f t="shared" si="1"/>
        <v>357.24400000000003</v>
      </c>
      <c r="L5" s="211">
        <f t="shared" si="1"/>
        <v>281.61900000000003</v>
      </c>
      <c r="M5" s="211">
        <f t="shared" si="1"/>
        <v>232.13200000000001</v>
      </c>
      <c r="N5" s="211">
        <f t="shared" si="1"/>
        <v>147.78100000000001</v>
      </c>
      <c r="O5" s="211">
        <f t="shared" si="1"/>
        <v>143.22200000000001</v>
      </c>
      <c r="P5" s="211">
        <f t="shared" si="1"/>
        <v>116.43899999999999</v>
      </c>
      <c r="Q5" s="211">
        <f t="shared" si="1"/>
        <v>113.69</v>
      </c>
      <c r="R5" s="211">
        <f>SUM(R6:R9)</f>
        <v>101.056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212">
        <v>84.438999999999993</v>
      </c>
      <c r="I6" s="212">
        <v>65.412000000000006</v>
      </c>
      <c r="J6" s="212">
        <v>138.69499999999999</v>
      </c>
      <c r="K6" s="212">
        <v>276.14600000000002</v>
      </c>
      <c r="L6" s="212">
        <v>228.43600000000001</v>
      </c>
      <c r="M6" s="212">
        <v>162.84</v>
      </c>
      <c r="N6" s="212">
        <v>85.680999999999997</v>
      </c>
      <c r="O6" s="212">
        <v>88.421999999999997</v>
      </c>
      <c r="P6" s="212">
        <v>65.438999999999993</v>
      </c>
      <c r="Q6" s="212">
        <v>56.49</v>
      </c>
      <c r="R6" s="212">
        <v>50.174999999999997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212">
        <v>21.463000000000001</v>
      </c>
      <c r="I7" s="212">
        <v>40.287999999999997</v>
      </c>
      <c r="J7" s="212">
        <v>27.077000000000002</v>
      </c>
      <c r="K7" s="212">
        <v>63.460999999999999</v>
      </c>
      <c r="L7" s="212">
        <v>25.966000000000001</v>
      </c>
      <c r="M7" s="212">
        <v>44.712000000000003</v>
      </c>
      <c r="N7" s="212">
        <v>42.3</v>
      </c>
      <c r="O7" s="212">
        <v>32.5</v>
      </c>
      <c r="P7" s="212">
        <v>33.5</v>
      </c>
      <c r="Q7" s="212">
        <v>39.200000000000003</v>
      </c>
      <c r="R7" s="212">
        <v>34.5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212">
        <v>31.879000000000001</v>
      </c>
      <c r="I9" s="212">
        <v>35.999000000000002</v>
      </c>
      <c r="J9" s="212">
        <v>35.017000000000003</v>
      </c>
      <c r="K9" s="212">
        <v>17.637</v>
      </c>
      <c r="L9" s="212">
        <v>27.216999999999999</v>
      </c>
      <c r="M9" s="212">
        <v>24.58</v>
      </c>
      <c r="N9" s="212">
        <v>19.8</v>
      </c>
      <c r="O9" s="212">
        <v>22.3</v>
      </c>
      <c r="P9" s="212">
        <v>17.5</v>
      </c>
      <c r="Q9" s="212">
        <v>18</v>
      </c>
      <c r="R9" s="212">
        <v>16.381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211">
        <f>SUM(H11:H16)</f>
        <v>2848.431</v>
      </c>
      <c r="I10" s="211">
        <f t="shared" ref="I10:R10" si="2">SUM(I11:I16)</f>
        <v>2684.8690000000001</v>
      </c>
      <c r="J10" s="211">
        <f t="shared" si="2"/>
        <v>2509.453</v>
      </c>
      <c r="K10" s="211">
        <f t="shared" si="2"/>
        <v>2589.962</v>
      </c>
      <c r="L10" s="211">
        <f t="shared" si="2"/>
        <v>2619.9270000000001</v>
      </c>
      <c r="M10" s="211">
        <f t="shared" si="2"/>
        <v>2568.5160000000001</v>
      </c>
      <c r="N10" s="211">
        <f t="shared" si="2"/>
        <v>2505.5540000000001</v>
      </c>
      <c r="O10" s="211">
        <f t="shared" si="2"/>
        <v>2703.0390000000002</v>
      </c>
      <c r="P10" s="211">
        <f t="shared" si="2"/>
        <v>2622.3420000000001</v>
      </c>
      <c r="Q10" s="211">
        <f t="shared" si="2"/>
        <v>2756.326</v>
      </c>
      <c r="R10" s="211">
        <f t="shared" si="2"/>
        <v>2691.42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2">
        <v>0</v>
      </c>
      <c r="R14" s="212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212">
        <v>2848.431</v>
      </c>
      <c r="I15" s="212">
        <v>2684.8690000000001</v>
      </c>
      <c r="J15" s="212">
        <v>2509.453</v>
      </c>
      <c r="K15" s="212">
        <v>2589.962</v>
      </c>
      <c r="L15" s="212">
        <v>2619.9270000000001</v>
      </c>
      <c r="M15" s="212">
        <v>2568.5160000000001</v>
      </c>
      <c r="N15" s="212">
        <v>2505.5540000000001</v>
      </c>
      <c r="O15" s="212">
        <v>2703.0390000000002</v>
      </c>
      <c r="P15" s="212">
        <v>2622.3420000000001</v>
      </c>
      <c r="Q15" s="212">
        <v>2756.326</v>
      </c>
      <c r="R15" s="212">
        <v>2691.42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211">
        <f>H19+H27</f>
        <v>2986.2150000000001</v>
      </c>
      <c r="I18" s="211">
        <f t="shared" ref="I18:R18" si="3">I19+I27</f>
        <v>2826.5680000000002</v>
      </c>
      <c r="J18" s="211">
        <f t="shared" si="3"/>
        <v>2710.241</v>
      </c>
      <c r="K18" s="211">
        <f t="shared" si="3"/>
        <v>2947.2049999999999</v>
      </c>
      <c r="L18" s="211">
        <f t="shared" si="3"/>
        <v>2901.5449999999996</v>
      </c>
      <c r="M18" s="211">
        <f t="shared" si="3"/>
        <v>2800.6489999999994</v>
      </c>
      <c r="N18" s="211">
        <f t="shared" si="3"/>
        <v>2653.3349999999996</v>
      </c>
      <c r="O18" s="211">
        <f t="shared" si="3"/>
        <v>2846.261</v>
      </c>
      <c r="P18" s="211">
        <f t="shared" si="3"/>
        <v>2738.7809999999999</v>
      </c>
      <c r="Q18" s="211">
        <f t="shared" si="3"/>
        <v>2870.0160000000001</v>
      </c>
      <c r="R18" s="211">
        <f t="shared" si="3"/>
        <v>2792.4760000000001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211">
        <f>SUM(H21:H26)</f>
        <v>257.43299999999999</v>
      </c>
      <c r="I19" s="211">
        <f t="shared" ref="I19:R19" si="4">SUM(I21:I26)</f>
        <v>29.306000000000001</v>
      </c>
      <c r="J19" s="211">
        <f t="shared" si="4"/>
        <v>33.36</v>
      </c>
      <c r="K19" s="211">
        <f t="shared" si="4"/>
        <v>166.1</v>
      </c>
      <c r="L19" s="211">
        <f t="shared" si="4"/>
        <v>36.372999999999998</v>
      </c>
      <c r="M19" s="211">
        <f t="shared" si="4"/>
        <v>33.363999999999997</v>
      </c>
      <c r="N19" s="211">
        <f t="shared" si="4"/>
        <v>33.6</v>
      </c>
      <c r="O19" s="211">
        <f t="shared" si="4"/>
        <v>33.9</v>
      </c>
      <c r="P19" s="211">
        <f t="shared" si="4"/>
        <v>33.988999999999997</v>
      </c>
      <c r="Q19" s="211">
        <f t="shared" si="4"/>
        <v>36.299999999999997</v>
      </c>
      <c r="R19" s="211">
        <f t="shared" si="4"/>
        <v>36.4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214">
        <v>257.43</v>
      </c>
      <c r="I20" s="214">
        <v>29.306000000000001</v>
      </c>
      <c r="J20" s="214">
        <v>33.36</v>
      </c>
      <c r="K20" s="214">
        <v>166.1</v>
      </c>
      <c r="L20" s="214">
        <v>36.372999999999998</v>
      </c>
      <c r="M20" s="214">
        <v>33.363999999999997</v>
      </c>
      <c r="N20" s="214">
        <v>33.6</v>
      </c>
      <c r="O20" s="214">
        <v>33.9</v>
      </c>
      <c r="P20" s="214">
        <v>33.988999999999997</v>
      </c>
      <c r="Q20" s="214">
        <v>36.299999999999997</v>
      </c>
      <c r="R20" s="214">
        <v>36.4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212">
        <f>0.608+10.381+12.978</f>
        <v>23.966999999999999</v>
      </c>
      <c r="I21" s="212">
        <v>29.306000000000001</v>
      </c>
      <c r="J21" s="212">
        <v>33.36</v>
      </c>
      <c r="K21" s="212">
        <v>166.1</v>
      </c>
      <c r="L21" s="212">
        <v>36.372999999999998</v>
      </c>
      <c r="M21" s="212">
        <v>33.363999999999997</v>
      </c>
      <c r="N21" s="212">
        <v>33.6</v>
      </c>
      <c r="O21" s="212">
        <v>33.9</v>
      </c>
      <c r="P21" s="212">
        <v>33.988999999999997</v>
      </c>
      <c r="Q21" s="212">
        <v>36.299999999999997</v>
      </c>
      <c r="R21" s="212">
        <v>36.4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212">
        <v>233.46600000000001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0</v>
      </c>
      <c r="Q26" s="212">
        <v>0</v>
      </c>
      <c r="R26" s="212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211">
        <f>SUM(H28:H30)</f>
        <v>2728.7820000000002</v>
      </c>
      <c r="I27" s="211">
        <f t="shared" ref="I27:R27" si="5">SUM(I28:I30)</f>
        <v>2797.2620000000002</v>
      </c>
      <c r="J27" s="211">
        <f t="shared" si="5"/>
        <v>2676.8809999999999</v>
      </c>
      <c r="K27" s="211">
        <f t="shared" si="5"/>
        <v>2781.105</v>
      </c>
      <c r="L27" s="211">
        <f t="shared" si="5"/>
        <v>2865.1719999999996</v>
      </c>
      <c r="M27" s="211">
        <f t="shared" si="5"/>
        <v>2767.2849999999994</v>
      </c>
      <c r="N27" s="211">
        <f t="shared" si="5"/>
        <v>2619.7349999999997</v>
      </c>
      <c r="O27" s="211">
        <f t="shared" si="5"/>
        <v>2812.3609999999999</v>
      </c>
      <c r="P27" s="211">
        <f t="shared" si="5"/>
        <v>2704.7919999999999</v>
      </c>
      <c r="Q27" s="211">
        <f t="shared" si="5"/>
        <v>2833.7159999999999</v>
      </c>
      <c r="R27" s="211">
        <f t="shared" si="5"/>
        <v>2756.076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212">
        <v>1575.9490000000001</v>
      </c>
      <c r="I28" s="212">
        <v>1575.9490000000001</v>
      </c>
      <c r="J28" s="212">
        <v>1575.9490000000001</v>
      </c>
      <c r="K28" s="212">
        <v>1575.9490000000001</v>
      </c>
      <c r="L28" s="212">
        <v>1575.9490000000001</v>
      </c>
      <c r="M28" s="212">
        <v>1575.9490000000001</v>
      </c>
      <c r="N28" s="212">
        <v>1575.9490000000001</v>
      </c>
      <c r="O28" s="212">
        <v>1575.9490000000001</v>
      </c>
      <c r="P28" s="212">
        <v>1575.9490000000001</v>
      </c>
      <c r="Q28" s="212">
        <v>1575.9490000000001</v>
      </c>
      <c r="R28" s="212">
        <v>1575.9490000000001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212">
        <v>1077.5039999999999</v>
      </c>
      <c r="I29" s="212">
        <f t="shared" ref="I29:R29" si="6">H29+H30</f>
        <v>1152.8329999999999</v>
      </c>
      <c r="J29" s="212">
        <f t="shared" si="6"/>
        <v>1221.3129999999999</v>
      </c>
      <c r="K29" s="212">
        <f t="shared" si="6"/>
        <v>1100.9319999999998</v>
      </c>
      <c r="L29" s="212">
        <f t="shared" si="6"/>
        <v>1205.1559999999997</v>
      </c>
      <c r="M29" s="212">
        <f t="shared" si="6"/>
        <v>1289.2229999999997</v>
      </c>
      <c r="N29" s="212">
        <f t="shared" si="6"/>
        <v>1191.3359999999998</v>
      </c>
      <c r="O29" s="212">
        <f t="shared" si="6"/>
        <v>1043.7859999999998</v>
      </c>
      <c r="P29" s="212">
        <f t="shared" si="6"/>
        <v>1236.4119999999998</v>
      </c>
      <c r="Q29" s="212">
        <f t="shared" si="6"/>
        <v>1128.8429999999998</v>
      </c>
      <c r="R29" s="212">
        <f t="shared" si="6"/>
        <v>1257.7669999999998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212">
        <v>75.328999999999994</v>
      </c>
      <c r="I30" s="212">
        <v>68.48</v>
      </c>
      <c r="J30" s="212">
        <v>-120.381</v>
      </c>
      <c r="K30" s="212">
        <v>104.224</v>
      </c>
      <c r="L30" s="212">
        <v>84.066999999999993</v>
      </c>
      <c r="M30" s="212">
        <v>-97.887</v>
      </c>
      <c r="N30" s="212">
        <v>-147.55000000000001</v>
      </c>
      <c r="O30" s="212">
        <v>192.626</v>
      </c>
      <c r="P30" s="212">
        <v>-107.569</v>
      </c>
      <c r="Q30" s="212">
        <v>128.92400000000001</v>
      </c>
      <c r="R30" s="212">
        <v>-77.64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215">
        <f t="shared" ref="H31:R31" si="7">H4-H18</f>
        <v>-3.0000000001564331E-3</v>
      </c>
      <c r="I31" s="215">
        <f t="shared" si="7"/>
        <v>0</v>
      </c>
      <c r="J31" s="215">
        <f t="shared" si="7"/>
        <v>1.0000000002037268E-3</v>
      </c>
      <c r="K31" s="215">
        <f t="shared" si="7"/>
        <v>1.0000000002037268E-3</v>
      </c>
      <c r="L31" s="215">
        <f t="shared" si="7"/>
        <v>1.0000000006584742E-3</v>
      </c>
      <c r="M31" s="215">
        <f t="shared" si="7"/>
        <v>-9.9999999929423211E-4</v>
      </c>
      <c r="N31" s="215">
        <f t="shared" si="7"/>
        <v>0</v>
      </c>
      <c r="O31" s="215">
        <f t="shared" si="7"/>
        <v>0</v>
      </c>
      <c r="P31" s="215">
        <f t="shared" si="7"/>
        <v>0</v>
      </c>
      <c r="Q31" s="215">
        <f t="shared" si="7"/>
        <v>0</v>
      </c>
      <c r="R31" s="215">
        <f t="shared" si="7"/>
        <v>0</v>
      </c>
      <c r="S31" s="4"/>
    </row>
    <row r="32" spans="1:19" x14ac:dyDescent="0.2">
      <c r="G32" s="207" t="s">
        <v>78</v>
      </c>
      <c r="H32" s="216">
        <v>2011</v>
      </c>
      <c r="I32" s="216">
        <f t="shared" ref="I32:R32" si="8">H32+1</f>
        <v>2012</v>
      </c>
      <c r="J32" s="216">
        <f t="shared" si="8"/>
        <v>2013</v>
      </c>
      <c r="K32" s="216">
        <f t="shared" si="8"/>
        <v>2014</v>
      </c>
      <c r="L32" s="216">
        <f t="shared" si="8"/>
        <v>2015</v>
      </c>
      <c r="M32" s="216">
        <f t="shared" si="8"/>
        <v>2016</v>
      </c>
      <c r="N32" s="216">
        <f t="shared" si="8"/>
        <v>2017</v>
      </c>
      <c r="O32" s="216">
        <f t="shared" si="8"/>
        <v>2018</v>
      </c>
      <c r="P32" s="216">
        <f t="shared" si="8"/>
        <v>2019</v>
      </c>
      <c r="Q32" s="216">
        <f t="shared" si="8"/>
        <v>2020</v>
      </c>
      <c r="R32" s="216">
        <f t="shared" si="8"/>
        <v>2021</v>
      </c>
    </row>
    <row r="33" spans="1:18" x14ac:dyDescent="0.2">
      <c r="B33" s="2" t="s">
        <v>79</v>
      </c>
      <c r="C33" s="19">
        <v>3</v>
      </c>
      <c r="G33" s="210" t="s">
        <v>80</v>
      </c>
      <c r="H33" s="211">
        <f>SUM(H34:H37)</f>
        <v>778.00599999999997</v>
      </c>
      <c r="I33" s="211">
        <f t="shared" ref="I33:R33" si="9">SUM(I34:I37)</f>
        <v>852.37799999999993</v>
      </c>
      <c r="J33" s="211">
        <f t="shared" si="9"/>
        <v>771.625</v>
      </c>
      <c r="K33" s="211">
        <f t="shared" si="9"/>
        <v>944.03899999999999</v>
      </c>
      <c r="L33" s="211">
        <f t="shared" si="9"/>
        <v>1007.119</v>
      </c>
      <c r="M33" s="211">
        <f t="shared" si="9"/>
        <v>941.12699999999995</v>
      </c>
      <c r="N33" s="211">
        <f t="shared" si="9"/>
        <v>845.971</v>
      </c>
      <c r="O33" s="211">
        <f t="shared" si="9"/>
        <v>1213.752</v>
      </c>
      <c r="P33" s="211">
        <f t="shared" si="9"/>
        <v>938.47499999999991</v>
      </c>
      <c r="Q33" s="211">
        <f t="shared" si="9"/>
        <v>1201.9929999999999</v>
      </c>
      <c r="R33" s="211">
        <f t="shared" si="9"/>
        <v>1036.547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212">
        <v>248.369</v>
      </c>
      <c r="I35" s="212">
        <v>268.125</v>
      </c>
      <c r="J35" s="212">
        <v>305.31799999999998</v>
      </c>
      <c r="K35" s="212">
        <v>292.49400000000003</v>
      </c>
      <c r="L35" s="212">
        <v>323.01900000000001</v>
      </c>
      <c r="M35" s="212">
        <v>347.55599999999998</v>
      </c>
      <c r="N35" s="212">
        <v>336.59399999999999</v>
      </c>
      <c r="O35" s="212">
        <v>348.375</v>
      </c>
      <c r="P35" s="212">
        <v>351.858</v>
      </c>
      <c r="Q35" s="212">
        <v>355.37599999999998</v>
      </c>
      <c r="R35" s="212">
        <v>358.93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212">
        <v>529.63699999999994</v>
      </c>
      <c r="I36" s="212">
        <v>584.16899999999998</v>
      </c>
      <c r="J36" s="212">
        <v>466.30700000000002</v>
      </c>
      <c r="K36" s="212">
        <v>651.54499999999996</v>
      </c>
      <c r="L36" s="212">
        <v>684.1</v>
      </c>
      <c r="M36" s="212">
        <v>574.48599999999999</v>
      </c>
      <c r="N36" s="212">
        <v>509.37700000000001</v>
      </c>
      <c r="O36" s="212">
        <v>810.37699999999995</v>
      </c>
      <c r="P36" s="212">
        <v>586.61699999999996</v>
      </c>
      <c r="Q36" s="212">
        <v>746.61699999999996</v>
      </c>
      <c r="R36" s="212">
        <v>677.61699999999996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212">
        <v>0</v>
      </c>
      <c r="I37" s="212">
        <v>8.4000000000000005E-2</v>
      </c>
      <c r="J37" s="212">
        <v>0</v>
      </c>
      <c r="K37" s="212">
        <v>0</v>
      </c>
      <c r="L37" s="212">
        <v>0</v>
      </c>
      <c r="M37" s="212">
        <v>19.085000000000001</v>
      </c>
      <c r="N37" s="212">
        <v>0</v>
      </c>
      <c r="O37" s="212">
        <v>55</v>
      </c>
      <c r="P37" s="212">
        <v>0</v>
      </c>
      <c r="Q37" s="212">
        <v>100</v>
      </c>
      <c r="R37" s="212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211">
        <f>H39+H40</f>
        <v>-0.1</v>
      </c>
      <c r="I38" s="211">
        <f t="shared" ref="I38:R38" si="10">I39+I40</f>
        <v>0</v>
      </c>
      <c r="J38" s="211">
        <f t="shared" si="10"/>
        <v>-0.375</v>
      </c>
      <c r="K38" s="211">
        <f t="shared" si="10"/>
        <v>-0.11</v>
      </c>
      <c r="L38" s="211">
        <f t="shared" si="10"/>
        <v>-0.11</v>
      </c>
      <c r="M38" s="211">
        <f t="shared" si="10"/>
        <v>0</v>
      </c>
      <c r="N38" s="211">
        <f t="shared" si="10"/>
        <v>-0.11</v>
      </c>
      <c r="O38" s="211">
        <f t="shared" si="10"/>
        <v>0</v>
      </c>
      <c r="P38" s="211">
        <f t="shared" si="10"/>
        <v>0</v>
      </c>
      <c r="Q38" s="211">
        <f t="shared" si="10"/>
        <v>0</v>
      </c>
      <c r="R38" s="211">
        <f t="shared" si="10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212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212">
        <v>-0.1</v>
      </c>
      <c r="I40" s="212">
        <v>0</v>
      </c>
      <c r="J40" s="212">
        <v>-0.375</v>
      </c>
      <c r="K40" s="212">
        <v>-0.11</v>
      </c>
      <c r="L40" s="212">
        <v>-0.11</v>
      </c>
      <c r="M40" s="212">
        <v>0</v>
      </c>
      <c r="N40" s="212">
        <v>-0.11</v>
      </c>
      <c r="O40" s="212">
        <v>0</v>
      </c>
      <c r="P40" s="212">
        <v>0</v>
      </c>
      <c r="Q40" s="212">
        <v>0</v>
      </c>
      <c r="R40" s="212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211">
        <f>SUM(H42:H45)</f>
        <v>-687.42000000000007</v>
      </c>
      <c r="I41" s="211">
        <f t="shared" ref="I41:R41" si="11">SUM(I42:I45)</f>
        <v>-781.03399999999988</v>
      </c>
      <c r="J41" s="211">
        <f t="shared" si="11"/>
        <v>-891.63099999999997</v>
      </c>
      <c r="K41" s="211">
        <f t="shared" si="11"/>
        <v>-839.70399999999995</v>
      </c>
      <c r="L41" s="211">
        <f t="shared" si="11"/>
        <v>-923.58199999999988</v>
      </c>
      <c r="M41" s="211">
        <f t="shared" si="11"/>
        <v>-1039.55</v>
      </c>
      <c r="N41" s="211">
        <f t="shared" si="11"/>
        <v>-994.03109999999992</v>
      </c>
      <c r="O41" s="211">
        <f t="shared" si="11"/>
        <v>-1021.516</v>
      </c>
      <c r="P41" s="211">
        <f t="shared" si="11"/>
        <v>-1046.384</v>
      </c>
      <c r="Q41" s="211">
        <f t="shared" si="11"/>
        <v>-1073.4090000000001</v>
      </c>
      <c r="R41" s="211">
        <f t="shared" si="11"/>
        <v>-1114.527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212">
        <v>-233.29</v>
      </c>
      <c r="I42" s="212">
        <v>-262.24700000000001</v>
      </c>
      <c r="J42" s="212">
        <v>-322.40300000000002</v>
      </c>
      <c r="K42" s="212">
        <v>-349.23399999999998</v>
      </c>
      <c r="L42" s="212">
        <v>-397.03199999999998</v>
      </c>
      <c r="M42" s="212">
        <v>-393.35</v>
      </c>
      <c r="N42" s="212">
        <v>-415.31110000000001</v>
      </c>
      <c r="O42" s="212">
        <v>-419.464</v>
      </c>
      <c r="P42" s="212">
        <v>-421.56099999999998</v>
      </c>
      <c r="Q42" s="212">
        <v>-423.66800000000001</v>
      </c>
      <c r="R42" s="212">
        <v>-425.786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212">
        <v>-230.42599999999999</v>
      </c>
      <c r="I43" s="212">
        <v>-280.57100000000003</v>
      </c>
      <c r="J43" s="212">
        <v>-347.37900000000002</v>
      </c>
      <c r="K43" s="212">
        <v>-327.11099999999999</v>
      </c>
      <c r="L43" s="212">
        <v>-330.87200000000001</v>
      </c>
      <c r="M43" s="212">
        <v>-411.64299999999997</v>
      </c>
      <c r="N43" s="212">
        <v>-415.75799999999998</v>
      </c>
      <c r="O43" s="212">
        <v>-417.83699999999999</v>
      </c>
      <c r="P43" s="212">
        <v>-419.92599999999999</v>
      </c>
      <c r="Q43" s="212">
        <v>-422.02499999999998</v>
      </c>
      <c r="R43" s="212">
        <v>-424.13499999999999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212">
        <v>-18.260999999999999</v>
      </c>
      <c r="I44" s="212">
        <v>-15.17</v>
      </c>
      <c r="J44" s="212">
        <v>-12.808999999999999</v>
      </c>
      <c r="K44" s="212">
        <v>20.893999999999998</v>
      </c>
      <c r="L44" s="212">
        <v>-2.06</v>
      </c>
      <c r="M44" s="212">
        <v>-1.79</v>
      </c>
      <c r="N44" s="212">
        <v>-1.5</v>
      </c>
      <c r="O44" s="212">
        <v>-1.7</v>
      </c>
      <c r="P44" s="212">
        <v>-1.7</v>
      </c>
      <c r="Q44" s="212">
        <v>-1.7</v>
      </c>
      <c r="R44" s="212">
        <v>-1.7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212">
        <v>-205.44300000000001</v>
      </c>
      <c r="I45" s="212">
        <v>-223.04599999999999</v>
      </c>
      <c r="J45" s="212">
        <v>-209.04</v>
      </c>
      <c r="K45" s="212">
        <v>-184.25299999999999</v>
      </c>
      <c r="L45" s="212">
        <v>-193.61799999999999</v>
      </c>
      <c r="M45" s="212">
        <v>-232.767</v>
      </c>
      <c r="N45" s="212">
        <v>-161.46199999999999</v>
      </c>
      <c r="O45" s="212">
        <v>-182.51499999999999</v>
      </c>
      <c r="P45" s="212">
        <v>-203.197</v>
      </c>
      <c r="Q45" s="212">
        <v>-226.01599999999999</v>
      </c>
      <c r="R45" s="212">
        <v>-262.90600000000001</v>
      </c>
    </row>
    <row r="46" spans="1:18" x14ac:dyDescent="0.2">
      <c r="B46" s="2" t="s">
        <v>107</v>
      </c>
      <c r="G46" s="18" t="s">
        <v>108</v>
      </c>
      <c r="H46" s="211">
        <f>H33+H38+H41</f>
        <v>90.485999999999876</v>
      </c>
      <c r="I46" s="211">
        <f t="shared" ref="I46:R46" si="12">I33+I38+I41</f>
        <v>71.344000000000051</v>
      </c>
      <c r="J46" s="211">
        <f t="shared" si="12"/>
        <v>-120.38099999999997</v>
      </c>
      <c r="K46" s="211">
        <f t="shared" si="12"/>
        <v>104.22500000000002</v>
      </c>
      <c r="L46" s="211">
        <f t="shared" si="12"/>
        <v>83.427000000000135</v>
      </c>
      <c r="M46" s="211">
        <f t="shared" si="12"/>
        <v>-98.423000000000002</v>
      </c>
      <c r="N46" s="211">
        <f t="shared" si="12"/>
        <v>-148.17009999999993</v>
      </c>
      <c r="O46" s="211">
        <f t="shared" si="12"/>
        <v>192.23599999999999</v>
      </c>
      <c r="P46" s="211">
        <f t="shared" si="12"/>
        <v>-107.90900000000011</v>
      </c>
      <c r="Q46" s="211">
        <f t="shared" si="12"/>
        <v>128.58399999999983</v>
      </c>
      <c r="R46" s="211">
        <f t="shared" si="12"/>
        <v>-77.980000000000018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212">
        <v>-15.256</v>
      </c>
      <c r="I47" s="212">
        <v>-2.8639999999999999</v>
      </c>
      <c r="J47" s="212">
        <v>0</v>
      </c>
      <c r="K47" s="212">
        <v>0</v>
      </c>
      <c r="L47" s="212">
        <v>0.64200000000000002</v>
      </c>
      <c r="M47" s="212">
        <v>0.64700000000000002</v>
      </c>
      <c r="N47" s="212">
        <v>0.62</v>
      </c>
      <c r="O47" s="212">
        <v>0.5</v>
      </c>
      <c r="P47" s="212">
        <v>0.45</v>
      </c>
      <c r="Q47" s="212">
        <v>0.45</v>
      </c>
      <c r="R47" s="212">
        <v>0.45</v>
      </c>
    </row>
    <row r="48" spans="1:18" x14ac:dyDescent="0.2">
      <c r="B48" s="2" t="s">
        <v>111</v>
      </c>
      <c r="G48" s="18" t="s">
        <v>112</v>
      </c>
      <c r="H48" s="211">
        <f>H46+H47</f>
        <v>75.229999999999876</v>
      </c>
      <c r="I48" s="211">
        <f t="shared" ref="I48:R48" si="13">I46+I47</f>
        <v>68.480000000000047</v>
      </c>
      <c r="J48" s="211">
        <f t="shared" si="13"/>
        <v>-120.38099999999997</v>
      </c>
      <c r="K48" s="211">
        <f t="shared" si="13"/>
        <v>104.22500000000002</v>
      </c>
      <c r="L48" s="211">
        <f t="shared" si="13"/>
        <v>84.069000000000131</v>
      </c>
      <c r="M48" s="211">
        <f t="shared" si="13"/>
        <v>-97.775999999999996</v>
      </c>
      <c r="N48" s="211">
        <f t="shared" si="13"/>
        <v>-147.55009999999993</v>
      </c>
      <c r="O48" s="211">
        <f t="shared" si="13"/>
        <v>192.73599999999999</v>
      </c>
      <c r="P48" s="211">
        <f t="shared" si="13"/>
        <v>-107.4590000000001</v>
      </c>
      <c r="Q48" s="211">
        <f t="shared" si="13"/>
        <v>129.03399999999982</v>
      </c>
      <c r="R48" s="211">
        <f t="shared" si="13"/>
        <v>-77.530000000000015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</row>
    <row r="51" spans="1:18" x14ac:dyDescent="0.2">
      <c r="B51" s="2" t="s">
        <v>117</v>
      </c>
      <c r="G51" s="18" t="s">
        <v>118</v>
      </c>
      <c r="H51" s="211">
        <f>H48+H49+H50</f>
        <v>75.229999999999876</v>
      </c>
      <c r="I51" s="211">
        <f t="shared" ref="I51:R51" si="14">I48+I49+I50</f>
        <v>68.480000000000047</v>
      </c>
      <c r="J51" s="211">
        <f t="shared" si="14"/>
        <v>-120.38099999999997</v>
      </c>
      <c r="K51" s="211">
        <f t="shared" si="14"/>
        <v>104.22500000000002</v>
      </c>
      <c r="L51" s="211">
        <f t="shared" si="14"/>
        <v>84.069000000000131</v>
      </c>
      <c r="M51" s="211">
        <f t="shared" si="14"/>
        <v>-97.775999999999996</v>
      </c>
      <c r="N51" s="211">
        <f t="shared" si="14"/>
        <v>-147.55009999999993</v>
      </c>
      <c r="O51" s="211">
        <f t="shared" si="14"/>
        <v>192.73599999999999</v>
      </c>
      <c r="P51" s="211">
        <f t="shared" si="14"/>
        <v>-107.4590000000001</v>
      </c>
      <c r="Q51" s="211">
        <f t="shared" si="14"/>
        <v>129.03399999999982</v>
      </c>
      <c r="R51" s="211">
        <f t="shared" si="14"/>
        <v>-77.530000000000015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215">
        <f>H30-H51</f>
        <v>9.9000000000117439E-2</v>
      </c>
      <c r="I52" s="215">
        <f t="shared" ref="I52:R52" si="15">I30-I51</f>
        <v>0</v>
      </c>
      <c r="J52" s="215">
        <f t="shared" si="15"/>
        <v>0</v>
      </c>
      <c r="K52" s="215">
        <f t="shared" si="15"/>
        <v>-1.0000000000189857E-3</v>
      </c>
      <c r="L52" s="215">
        <f t="shared" si="15"/>
        <v>-2.0000000001374474E-3</v>
      </c>
      <c r="M52" s="215">
        <f t="shared" si="15"/>
        <v>-0.11100000000000421</v>
      </c>
      <c r="N52" s="215">
        <f t="shared" si="15"/>
        <v>9.9999999918054527E-5</v>
      </c>
      <c r="O52" s="215">
        <f t="shared" si="15"/>
        <v>-0.10999999999998522</v>
      </c>
      <c r="P52" s="215">
        <f t="shared" si="15"/>
        <v>-0.10999999999989996</v>
      </c>
      <c r="Q52" s="215">
        <f t="shared" si="15"/>
        <v>-0.10999999999981469</v>
      </c>
      <c r="R52" s="215">
        <f t="shared" si="15"/>
        <v>-0.10999999999998522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212">
        <v>18</v>
      </c>
      <c r="I54" s="212">
        <v>18</v>
      </c>
      <c r="J54" s="212">
        <v>18</v>
      </c>
      <c r="K54" s="212">
        <v>19</v>
      </c>
      <c r="L54" s="212">
        <v>20</v>
      </c>
      <c r="M54" s="212">
        <v>18.8</v>
      </c>
      <c r="N54" s="212">
        <v>19</v>
      </c>
      <c r="O54" s="212">
        <v>19</v>
      </c>
      <c r="P54" s="212">
        <v>19</v>
      </c>
      <c r="Q54" s="212">
        <v>19</v>
      </c>
      <c r="R54" s="212">
        <v>19</v>
      </c>
    </row>
    <row r="55" spans="1:18" ht="12" x14ac:dyDescent="0.2">
      <c r="E55" s="20" t="s">
        <v>14</v>
      </c>
      <c r="G55" s="46" t="s">
        <v>122</v>
      </c>
      <c r="H55" s="212"/>
      <c r="I55" s="212"/>
      <c r="J55" s="212"/>
      <c r="K55" s="212"/>
      <c r="L55" s="217"/>
      <c r="M55" s="217"/>
      <c r="N55" s="217"/>
      <c r="O55" s="217"/>
      <c r="P55" s="217"/>
      <c r="Q55" s="217"/>
      <c r="R55" s="217"/>
    </row>
    <row r="57" spans="1:18" x14ac:dyDescent="0.2">
      <c r="D57" s="49" t="s">
        <v>123</v>
      </c>
      <c r="E57" s="50" t="s">
        <v>3</v>
      </c>
      <c r="F57" s="17"/>
      <c r="G57" s="207" t="s">
        <v>124</v>
      </c>
      <c r="H57" s="216">
        <f>H32</f>
        <v>2011</v>
      </c>
      <c r="I57" s="216">
        <f t="shared" ref="I57:R57" si="16">I32</f>
        <v>2012</v>
      </c>
      <c r="J57" s="216">
        <f t="shared" si="16"/>
        <v>2013</v>
      </c>
      <c r="K57" s="216">
        <f t="shared" si="16"/>
        <v>2014</v>
      </c>
      <c r="L57" s="216">
        <f t="shared" si="16"/>
        <v>2015</v>
      </c>
      <c r="M57" s="216">
        <f t="shared" si="16"/>
        <v>2016</v>
      </c>
      <c r="N57" s="216">
        <f t="shared" si="16"/>
        <v>2017</v>
      </c>
      <c r="O57" s="216">
        <f t="shared" si="16"/>
        <v>2018</v>
      </c>
      <c r="P57" s="216">
        <f t="shared" si="16"/>
        <v>2019</v>
      </c>
      <c r="Q57" s="216">
        <f t="shared" si="16"/>
        <v>2020</v>
      </c>
      <c r="R57" s="216">
        <f t="shared" si="16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210" t="s">
        <v>128</v>
      </c>
      <c r="H58" s="212">
        <v>-235.52699999999999</v>
      </c>
      <c r="I58" s="212">
        <v>-60.4</v>
      </c>
      <c r="J58" s="212">
        <v>-33.624000000000002</v>
      </c>
      <c r="K58" s="212">
        <v>-264.762</v>
      </c>
      <c r="L58" s="212">
        <v>-227.483</v>
      </c>
      <c r="M58" s="212">
        <v>-183.37200000000001</v>
      </c>
      <c r="N58" s="212">
        <v>-98.5</v>
      </c>
      <c r="O58" s="212">
        <v>-380</v>
      </c>
      <c r="P58" s="212">
        <v>-122.5</v>
      </c>
      <c r="Q58" s="212">
        <v>-360</v>
      </c>
      <c r="R58" s="212">
        <v>-198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212">
        <v>0</v>
      </c>
      <c r="I59" s="212">
        <v>1</v>
      </c>
      <c r="J59" s="212">
        <v>0</v>
      </c>
      <c r="K59" s="212">
        <v>0</v>
      </c>
      <c r="L59" s="212">
        <v>3.89</v>
      </c>
      <c r="M59" s="212">
        <v>21</v>
      </c>
      <c r="N59" s="212">
        <v>0</v>
      </c>
      <c r="O59" s="212">
        <v>55</v>
      </c>
      <c r="P59" s="212">
        <v>0</v>
      </c>
      <c r="Q59" s="212">
        <v>100</v>
      </c>
      <c r="R59" s="212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212">
        <v>5.8040000000000003</v>
      </c>
      <c r="I60" s="212">
        <v>52.161000000000001</v>
      </c>
      <c r="J60" s="212">
        <v>0</v>
      </c>
      <c r="K60" s="212">
        <v>162</v>
      </c>
      <c r="L60" s="212">
        <v>216.98599999999999</v>
      </c>
      <c r="M60" s="212">
        <v>75</v>
      </c>
      <c r="N60" s="212">
        <v>14</v>
      </c>
      <c r="O60" s="212">
        <v>315</v>
      </c>
      <c r="P60" s="212">
        <v>90</v>
      </c>
      <c r="Q60" s="212">
        <v>250</v>
      </c>
      <c r="R60" s="212">
        <v>181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212">
        <v>0</v>
      </c>
      <c r="I62" s="212">
        <v>0</v>
      </c>
      <c r="J62" s="212">
        <v>0</v>
      </c>
      <c r="K62" s="212">
        <v>0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212">
        <v>0</v>
      </c>
      <c r="R62" s="212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12">
        <v>0</v>
      </c>
      <c r="R63" s="212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212">
        <v>0</v>
      </c>
      <c r="I67" s="212">
        <v>0</v>
      </c>
      <c r="J67" s="212">
        <v>0</v>
      </c>
      <c r="K67" s="212">
        <v>0</v>
      </c>
      <c r="L67" s="212">
        <v>0</v>
      </c>
      <c r="M67" s="212">
        <v>0</v>
      </c>
      <c r="N67" s="212">
        <v>0</v>
      </c>
      <c r="O67" s="212">
        <v>0</v>
      </c>
      <c r="P67" s="212">
        <v>0</v>
      </c>
      <c r="Q67" s="212">
        <v>0</v>
      </c>
      <c r="R67" s="212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212">
        <v>0</v>
      </c>
      <c r="I68" s="212">
        <v>0</v>
      </c>
      <c r="J68" s="212">
        <v>0</v>
      </c>
      <c r="K68" s="212">
        <v>0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212">
        <v>0</v>
      </c>
      <c r="R68" s="212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212">
        <v>0</v>
      </c>
      <c r="I69" s="212">
        <v>0</v>
      </c>
      <c r="J69" s="212">
        <v>0</v>
      </c>
      <c r="K69" s="212">
        <v>0</v>
      </c>
      <c r="L69" s="212">
        <v>0</v>
      </c>
      <c r="M69" s="212">
        <v>0</v>
      </c>
      <c r="N69" s="212">
        <v>0</v>
      </c>
      <c r="O69" s="212">
        <v>0</v>
      </c>
      <c r="P69" s="212">
        <v>0</v>
      </c>
      <c r="Q69" s="212">
        <v>0</v>
      </c>
      <c r="R69" s="212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212">
        <v>0.13700000000000001</v>
      </c>
      <c r="I70" s="212">
        <v>0.59899999999999998</v>
      </c>
      <c r="J70" s="212">
        <v>3.4000000000000002E-2</v>
      </c>
      <c r="K70" s="212">
        <v>0</v>
      </c>
      <c r="L70" s="212">
        <v>0.38100000000000001</v>
      </c>
      <c r="M70" s="212">
        <v>0.78600000000000003</v>
      </c>
      <c r="N70" s="212">
        <v>3.5000000000000003E-2</v>
      </c>
      <c r="O70" s="212">
        <v>3.5000000000000003E-2</v>
      </c>
      <c r="P70" s="212">
        <v>3.5000000000000003E-2</v>
      </c>
      <c r="Q70" s="212">
        <v>0</v>
      </c>
      <c r="R70" s="212">
        <v>0</v>
      </c>
    </row>
    <row r="71" spans="2:18" x14ac:dyDescent="0.2">
      <c r="B71" s="51" t="s">
        <v>162</v>
      </c>
      <c r="D71" s="16"/>
      <c r="E71" s="22"/>
      <c r="F71" s="22"/>
      <c r="G71" s="218" t="s">
        <v>163</v>
      </c>
      <c r="H71" s="211">
        <f t="shared" ref="H71:R71" si="17">SUM(H58:H70)</f>
        <v>-229.58599999999998</v>
      </c>
      <c r="I71" s="211">
        <f t="shared" si="17"/>
        <v>-6.639999999999997</v>
      </c>
      <c r="J71" s="211">
        <f t="shared" si="17"/>
        <v>-33.590000000000003</v>
      </c>
      <c r="K71" s="211">
        <f t="shared" si="17"/>
        <v>-102.762</v>
      </c>
      <c r="L71" s="211">
        <f t="shared" si="17"/>
        <v>-6.2260000000000275</v>
      </c>
      <c r="M71" s="211">
        <f t="shared" si="17"/>
        <v>-86.586000000000013</v>
      </c>
      <c r="N71" s="211">
        <f t="shared" si="17"/>
        <v>-84.465000000000003</v>
      </c>
      <c r="O71" s="211">
        <f t="shared" si="17"/>
        <v>-9.9649999999999999</v>
      </c>
      <c r="P71" s="211">
        <f t="shared" si="17"/>
        <v>-32.465000000000003</v>
      </c>
      <c r="Q71" s="211">
        <f t="shared" si="17"/>
        <v>-10</v>
      </c>
      <c r="R71" s="211">
        <f t="shared" si="17"/>
        <v>-17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207" t="s">
        <v>164</v>
      </c>
      <c r="H73" s="216">
        <f t="shared" ref="H73:R73" si="18">H57</f>
        <v>2011</v>
      </c>
      <c r="I73" s="216">
        <f t="shared" si="18"/>
        <v>2012</v>
      </c>
      <c r="J73" s="216">
        <f t="shared" si="18"/>
        <v>2013</v>
      </c>
      <c r="K73" s="216">
        <f t="shared" si="18"/>
        <v>2014</v>
      </c>
      <c r="L73" s="216">
        <f t="shared" si="18"/>
        <v>2015</v>
      </c>
      <c r="M73" s="216">
        <f t="shared" si="18"/>
        <v>2016</v>
      </c>
      <c r="N73" s="216">
        <f t="shared" si="18"/>
        <v>2017</v>
      </c>
      <c r="O73" s="216">
        <f t="shared" si="18"/>
        <v>2018</v>
      </c>
      <c r="P73" s="216">
        <f t="shared" si="18"/>
        <v>2019</v>
      </c>
      <c r="Q73" s="216">
        <f t="shared" si="18"/>
        <v>2020</v>
      </c>
      <c r="R73" s="216">
        <f t="shared" si="18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210" t="s">
        <v>167</v>
      </c>
      <c r="H74" s="212">
        <v>0</v>
      </c>
      <c r="I74" s="212">
        <v>0</v>
      </c>
      <c r="J74" s="212">
        <v>0</v>
      </c>
      <c r="K74" s="212">
        <v>0</v>
      </c>
      <c r="L74" s="212">
        <v>0</v>
      </c>
      <c r="M74" s="212">
        <v>0</v>
      </c>
      <c r="N74" s="212">
        <v>0</v>
      </c>
      <c r="O74" s="212">
        <v>0</v>
      </c>
      <c r="P74" s="212">
        <v>0</v>
      </c>
      <c r="Q74" s="212">
        <v>0</v>
      </c>
      <c r="R74" s="212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212">
        <v>0</v>
      </c>
      <c r="I75" s="212">
        <v>0</v>
      </c>
      <c r="J75" s="212">
        <v>0</v>
      </c>
      <c r="K75" s="212">
        <v>0</v>
      </c>
      <c r="L75" s="212">
        <v>0</v>
      </c>
      <c r="M75" s="212">
        <v>0</v>
      </c>
      <c r="N75" s="212">
        <v>0</v>
      </c>
      <c r="O75" s="212">
        <v>0</v>
      </c>
      <c r="P75" s="212">
        <v>0</v>
      </c>
      <c r="Q75" s="212">
        <v>0</v>
      </c>
      <c r="R75" s="212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212">
        <v>0</v>
      </c>
      <c r="I76" s="212">
        <v>0</v>
      </c>
      <c r="J76" s="212">
        <v>0</v>
      </c>
      <c r="K76" s="212">
        <v>0</v>
      </c>
      <c r="L76" s="212">
        <v>0</v>
      </c>
      <c r="M76" s="212">
        <v>0</v>
      </c>
      <c r="N76" s="212">
        <v>0</v>
      </c>
      <c r="O76" s="212">
        <v>0</v>
      </c>
      <c r="P76" s="212">
        <v>0</v>
      </c>
      <c r="Q76" s="212">
        <v>0</v>
      </c>
      <c r="R76" s="212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212">
        <v>-48.247</v>
      </c>
      <c r="I77" s="212">
        <v>0</v>
      </c>
      <c r="J77" s="212">
        <v>0</v>
      </c>
      <c r="K77" s="212">
        <v>0</v>
      </c>
      <c r="L77" s="212">
        <v>0</v>
      </c>
      <c r="M77" s="212">
        <v>0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212">
        <v>0</v>
      </c>
      <c r="I78" s="212">
        <v>0</v>
      </c>
      <c r="J78" s="212">
        <v>0</v>
      </c>
      <c r="K78" s="212">
        <v>0</v>
      </c>
      <c r="L78" s="212">
        <v>0</v>
      </c>
      <c r="M78" s="212">
        <v>0</v>
      </c>
      <c r="N78" s="212">
        <v>0</v>
      </c>
      <c r="O78" s="212">
        <v>0</v>
      </c>
      <c r="P78" s="212">
        <v>0</v>
      </c>
      <c r="Q78" s="212">
        <v>0</v>
      </c>
      <c r="R78" s="212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212">
        <f>-15.97-0.15</f>
        <v>-16.12</v>
      </c>
      <c r="I79" s="212">
        <v>0</v>
      </c>
      <c r="J79" s="212">
        <v>0</v>
      </c>
      <c r="K79" s="212">
        <v>0</v>
      </c>
      <c r="L79" s="212">
        <v>-0.08</v>
      </c>
      <c r="M79" s="212">
        <v>0</v>
      </c>
      <c r="N79" s="212">
        <v>0</v>
      </c>
      <c r="O79" s="212">
        <v>0</v>
      </c>
      <c r="P79" s="212">
        <v>0</v>
      </c>
      <c r="Q79" s="212">
        <v>0</v>
      </c>
      <c r="R79" s="212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212">
        <v>0</v>
      </c>
      <c r="I80" s="212">
        <v>0</v>
      </c>
      <c r="J80" s="212">
        <v>0</v>
      </c>
      <c r="K80" s="212">
        <v>0</v>
      </c>
      <c r="L80" s="212">
        <v>0</v>
      </c>
      <c r="M80" s="212">
        <v>0</v>
      </c>
      <c r="N80" s="212">
        <v>0</v>
      </c>
      <c r="O80" s="212">
        <v>0</v>
      </c>
      <c r="P80" s="212">
        <v>0</v>
      </c>
      <c r="Q80" s="212">
        <v>0</v>
      </c>
      <c r="R80" s="212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212">
        <v>0</v>
      </c>
      <c r="I81" s="212">
        <v>0</v>
      </c>
      <c r="J81" s="212">
        <v>0</v>
      </c>
      <c r="K81" s="212">
        <v>0</v>
      </c>
      <c r="L81" s="212">
        <v>0</v>
      </c>
      <c r="M81" s="212">
        <v>0</v>
      </c>
      <c r="N81" s="212">
        <v>0</v>
      </c>
      <c r="O81" s="212">
        <v>0</v>
      </c>
      <c r="P81" s="212">
        <v>0</v>
      </c>
      <c r="Q81" s="212">
        <v>0</v>
      </c>
      <c r="R81" s="212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212">
        <v>0</v>
      </c>
      <c r="I82" s="212">
        <v>0</v>
      </c>
      <c r="J82" s="212">
        <v>0</v>
      </c>
      <c r="K82" s="212">
        <v>0</v>
      </c>
      <c r="L82" s="212">
        <v>0</v>
      </c>
      <c r="M82" s="212">
        <v>0</v>
      </c>
      <c r="N82" s="212">
        <v>0</v>
      </c>
      <c r="O82" s="212">
        <v>0</v>
      </c>
      <c r="P82" s="212">
        <v>0</v>
      </c>
      <c r="Q82" s="212">
        <v>0</v>
      </c>
      <c r="R82" s="212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212">
        <v>0</v>
      </c>
      <c r="I83" s="212">
        <v>0</v>
      </c>
      <c r="J83" s="212">
        <v>0</v>
      </c>
      <c r="K83" s="212">
        <v>0</v>
      </c>
      <c r="L83" s="212">
        <v>0</v>
      </c>
      <c r="M83" s="212">
        <v>0</v>
      </c>
      <c r="N83" s="212">
        <v>0</v>
      </c>
      <c r="O83" s="212">
        <v>0</v>
      </c>
      <c r="P83" s="212">
        <v>0</v>
      </c>
      <c r="Q83" s="212">
        <v>0</v>
      </c>
      <c r="R83" s="212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212">
        <v>0</v>
      </c>
      <c r="I84" s="212">
        <v>0</v>
      </c>
      <c r="J84" s="212">
        <v>0</v>
      </c>
      <c r="K84" s="212">
        <v>0</v>
      </c>
      <c r="L84" s="212">
        <v>0</v>
      </c>
      <c r="M84" s="212">
        <v>0</v>
      </c>
      <c r="N84" s="212">
        <v>0</v>
      </c>
      <c r="O84" s="212">
        <v>0</v>
      </c>
      <c r="P84" s="212">
        <v>0</v>
      </c>
      <c r="Q84" s="212">
        <v>0</v>
      </c>
      <c r="R84" s="212">
        <v>0</v>
      </c>
    </row>
    <row r="85" spans="1:18" x14ac:dyDescent="0.2">
      <c r="B85" s="2" t="s">
        <v>192</v>
      </c>
      <c r="G85" s="186" t="s">
        <v>163</v>
      </c>
      <c r="H85" s="211">
        <f t="shared" ref="H85:Q85" si="19">SUM(H74:H84)</f>
        <v>-64.367000000000004</v>
      </c>
      <c r="I85" s="211">
        <f t="shared" si="19"/>
        <v>0</v>
      </c>
      <c r="J85" s="211">
        <f t="shared" si="19"/>
        <v>0</v>
      </c>
      <c r="K85" s="211">
        <f t="shared" si="19"/>
        <v>0</v>
      </c>
      <c r="L85" s="211">
        <f t="shared" si="19"/>
        <v>-0.08</v>
      </c>
      <c r="M85" s="211">
        <f t="shared" si="19"/>
        <v>0</v>
      </c>
      <c r="N85" s="211">
        <f t="shared" si="19"/>
        <v>0</v>
      </c>
      <c r="O85" s="211">
        <f t="shared" si="19"/>
        <v>0</v>
      </c>
      <c r="P85" s="211">
        <f t="shared" si="19"/>
        <v>0</v>
      </c>
      <c r="Q85" s="211">
        <f t="shared" si="19"/>
        <v>0</v>
      </c>
      <c r="R85" s="211">
        <f>SUM(R74:R84)</f>
        <v>0</v>
      </c>
    </row>
    <row r="87" spans="1:18" x14ac:dyDescent="0.2">
      <c r="A87" s="23" t="s">
        <v>0</v>
      </c>
      <c r="D87" s="1265" t="s">
        <v>193</v>
      </c>
      <c r="E87" s="1266"/>
      <c r="G87" s="207" t="s">
        <v>194</v>
      </c>
      <c r="H87" s="216">
        <f t="shared" ref="H87:R87" si="20">H32</f>
        <v>2011</v>
      </c>
      <c r="I87" s="216">
        <f t="shared" si="20"/>
        <v>2012</v>
      </c>
      <c r="J87" s="216">
        <f t="shared" si="20"/>
        <v>2013</v>
      </c>
      <c r="K87" s="216">
        <f t="shared" si="20"/>
        <v>2014</v>
      </c>
      <c r="L87" s="216">
        <f t="shared" si="20"/>
        <v>2015</v>
      </c>
      <c r="M87" s="216">
        <f t="shared" si="20"/>
        <v>2016</v>
      </c>
      <c r="N87" s="216">
        <f t="shared" si="20"/>
        <v>2017</v>
      </c>
      <c r="O87" s="216">
        <f t="shared" si="20"/>
        <v>2018</v>
      </c>
      <c r="P87" s="216">
        <f t="shared" si="20"/>
        <v>2019</v>
      </c>
      <c r="Q87" s="216">
        <f t="shared" si="20"/>
        <v>2020</v>
      </c>
      <c r="R87" s="216">
        <f t="shared" si="20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219"/>
      <c r="G88" s="210" t="s">
        <v>198</v>
      </c>
      <c r="H88" s="211">
        <f>H46+H71</f>
        <v>-139.10000000000011</v>
      </c>
      <c r="I88" s="211">
        <f t="shared" ref="I88:R88" si="21">I46+I71</f>
        <v>64.70400000000005</v>
      </c>
      <c r="J88" s="211">
        <f t="shared" si="21"/>
        <v>-153.97099999999998</v>
      </c>
      <c r="K88" s="211">
        <f t="shared" si="21"/>
        <v>1.4630000000000223</v>
      </c>
      <c r="L88" s="211">
        <f t="shared" si="21"/>
        <v>77.201000000000107</v>
      </c>
      <c r="M88" s="211">
        <f t="shared" si="21"/>
        <v>-185.00900000000001</v>
      </c>
      <c r="N88" s="211">
        <f t="shared" si="21"/>
        <v>-232.63509999999994</v>
      </c>
      <c r="O88" s="211">
        <f t="shared" si="21"/>
        <v>182.27099999999999</v>
      </c>
      <c r="P88" s="211">
        <f t="shared" si="21"/>
        <v>-140.37400000000011</v>
      </c>
      <c r="Q88" s="211">
        <f t="shared" si="21"/>
        <v>118.58399999999983</v>
      </c>
      <c r="R88" s="211">
        <f t="shared" si="21"/>
        <v>-94.980000000000018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219"/>
      <c r="G89" s="210" t="s">
        <v>202</v>
      </c>
      <c r="H89" s="220">
        <f t="shared" ref="H89:R89" si="22">H33+H38+H41-H45</f>
        <v>295.92899999999986</v>
      </c>
      <c r="I89" s="211">
        <f t="shared" si="22"/>
        <v>294.39000000000004</v>
      </c>
      <c r="J89" s="211">
        <f t="shared" si="22"/>
        <v>88.65900000000002</v>
      </c>
      <c r="K89" s="211">
        <f t="shared" si="22"/>
        <v>288.47800000000001</v>
      </c>
      <c r="L89" s="211">
        <f t="shared" si="22"/>
        <v>277.04500000000013</v>
      </c>
      <c r="M89" s="211">
        <f t="shared" si="22"/>
        <v>134.34399999999999</v>
      </c>
      <c r="N89" s="211">
        <f t="shared" si="22"/>
        <v>13.291900000000055</v>
      </c>
      <c r="O89" s="211">
        <f t="shared" si="22"/>
        <v>374.75099999999998</v>
      </c>
      <c r="P89" s="211">
        <f t="shared" si="22"/>
        <v>95.287999999999897</v>
      </c>
      <c r="Q89" s="211">
        <f t="shared" si="22"/>
        <v>354.5999999999998</v>
      </c>
      <c r="R89" s="211">
        <f t="shared" si="22"/>
        <v>184.92599999999999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221">
        <v>0</v>
      </c>
      <c r="G90" s="186" t="s">
        <v>206</v>
      </c>
      <c r="H90" s="222">
        <f t="shared" ref="H90:R90" si="23">H89/H33</f>
        <v>0.38036853186222197</v>
      </c>
      <c r="I90" s="223">
        <f t="shared" si="23"/>
        <v>0.34537493928749929</v>
      </c>
      <c r="J90" s="223">
        <f t="shared" si="23"/>
        <v>0.11489907662400781</v>
      </c>
      <c r="K90" s="223">
        <f t="shared" si="23"/>
        <v>0.30557847716037156</v>
      </c>
      <c r="L90" s="223">
        <f t="shared" si="23"/>
        <v>0.27508665808112065</v>
      </c>
      <c r="M90" s="223">
        <f t="shared" si="23"/>
        <v>0.14274800319191777</v>
      </c>
      <c r="N90" s="223">
        <f t="shared" si="23"/>
        <v>1.5712004312204621E-2</v>
      </c>
      <c r="O90" s="223">
        <f t="shared" si="23"/>
        <v>0.30875417713008918</v>
      </c>
      <c r="P90" s="223">
        <f t="shared" si="23"/>
        <v>0.10153493699885442</v>
      </c>
      <c r="Q90" s="223">
        <f t="shared" si="23"/>
        <v>0.29501003749605847</v>
      </c>
      <c r="R90" s="223">
        <f t="shared" si="23"/>
        <v>0.17840580311360699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219"/>
      <c r="G91" s="18" t="s">
        <v>210</v>
      </c>
      <c r="H91" s="224">
        <f t="shared" ref="H91:R91" si="24">-H33/(H38+H41)</f>
        <v>1.1316121712822897</v>
      </c>
      <c r="I91" s="224">
        <f t="shared" si="24"/>
        <v>1.0913455752246382</v>
      </c>
      <c r="J91" s="224">
        <f t="shared" si="24"/>
        <v>0.86504462974464302</v>
      </c>
      <c r="K91" s="224">
        <f t="shared" si="24"/>
        <v>1.1241048613145292</v>
      </c>
      <c r="L91" s="224">
        <f t="shared" si="24"/>
        <v>1.0903190673947594</v>
      </c>
      <c r="M91" s="224">
        <f t="shared" si="24"/>
        <v>0.90532153335577892</v>
      </c>
      <c r="N91" s="224">
        <f t="shared" si="24"/>
        <v>0.85095667003406261</v>
      </c>
      <c r="O91" s="224">
        <f t="shared" si="24"/>
        <v>1.1881869691713101</v>
      </c>
      <c r="P91" s="224">
        <f t="shared" si="24"/>
        <v>0.89687437881313159</v>
      </c>
      <c r="Q91" s="224">
        <f t="shared" si="24"/>
        <v>1.1197903129189337</v>
      </c>
      <c r="R91" s="224">
        <f t="shared" si="24"/>
        <v>0.93003309924299726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219"/>
      <c r="G92" s="210" t="s">
        <v>214</v>
      </c>
      <c r="H92" s="220">
        <f>H46</f>
        <v>90.485999999999876</v>
      </c>
      <c r="I92" s="220">
        <f t="shared" ref="I92:R92" si="25">I46</f>
        <v>71.344000000000051</v>
      </c>
      <c r="J92" s="220">
        <f t="shared" si="25"/>
        <v>-120.38099999999997</v>
      </c>
      <c r="K92" s="220">
        <f t="shared" si="25"/>
        <v>104.22500000000002</v>
      </c>
      <c r="L92" s="220">
        <f t="shared" si="25"/>
        <v>83.427000000000135</v>
      </c>
      <c r="M92" s="220">
        <f t="shared" si="25"/>
        <v>-98.423000000000002</v>
      </c>
      <c r="N92" s="220">
        <f t="shared" si="25"/>
        <v>-148.17009999999993</v>
      </c>
      <c r="O92" s="220">
        <f t="shared" si="25"/>
        <v>192.23599999999999</v>
      </c>
      <c r="P92" s="220">
        <f t="shared" si="25"/>
        <v>-107.90900000000011</v>
      </c>
      <c r="Q92" s="220">
        <f t="shared" si="25"/>
        <v>128.58399999999983</v>
      </c>
      <c r="R92" s="220">
        <f t="shared" si="25"/>
        <v>-77.980000000000018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221">
        <v>-0.3</v>
      </c>
      <c r="E93" s="221">
        <v>0</v>
      </c>
      <c r="G93" s="18" t="s">
        <v>218</v>
      </c>
      <c r="H93" s="225">
        <f>H46/H33</f>
        <v>0.11630501564255273</v>
      </c>
      <c r="I93" s="226">
        <f t="shared" ref="I93:R93" si="26">I46/I33</f>
        <v>8.3699954714927013E-2</v>
      </c>
      <c r="J93" s="226">
        <f t="shared" si="26"/>
        <v>-0.15600971974728653</v>
      </c>
      <c r="K93" s="226">
        <f t="shared" si="26"/>
        <v>0.11040327783068286</v>
      </c>
      <c r="L93" s="226">
        <f t="shared" si="26"/>
        <v>8.2837281393757969E-2</v>
      </c>
      <c r="M93" s="226">
        <f t="shared" si="26"/>
        <v>-0.10457993448280627</v>
      </c>
      <c r="N93" s="226">
        <f t="shared" si="26"/>
        <v>-0.17514796606503052</v>
      </c>
      <c r="O93" s="226">
        <f t="shared" si="26"/>
        <v>0.15838161337736209</v>
      </c>
      <c r="P93" s="226">
        <f t="shared" si="26"/>
        <v>-0.11498335064865885</v>
      </c>
      <c r="Q93" s="226">
        <f t="shared" si="26"/>
        <v>0.10697566458373704</v>
      </c>
      <c r="R93" s="226">
        <f t="shared" si="26"/>
        <v>-7.5230549121265144E-2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219"/>
      <c r="G94" s="186" t="s">
        <v>222</v>
      </c>
      <c r="H94" s="220">
        <f>H29+H30</f>
        <v>1152.8329999999999</v>
      </c>
      <c r="I94" s="220">
        <f t="shared" ref="I94:R94" si="27">I29+I30</f>
        <v>1221.3129999999999</v>
      </c>
      <c r="J94" s="220">
        <f t="shared" si="27"/>
        <v>1100.9319999999998</v>
      </c>
      <c r="K94" s="220">
        <f t="shared" si="27"/>
        <v>1205.1559999999997</v>
      </c>
      <c r="L94" s="220">
        <f t="shared" si="27"/>
        <v>1289.2229999999997</v>
      </c>
      <c r="M94" s="220">
        <f t="shared" si="27"/>
        <v>1191.3359999999998</v>
      </c>
      <c r="N94" s="220">
        <f t="shared" si="27"/>
        <v>1043.7859999999998</v>
      </c>
      <c r="O94" s="220">
        <f t="shared" si="27"/>
        <v>1236.4119999999998</v>
      </c>
      <c r="P94" s="220">
        <f t="shared" si="27"/>
        <v>1128.8429999999998</v>
      </c>
      <c r="Q94" s="220">
        <f t="shared" si="27"/>
        <v>1257.7669999999998</v>
      </c>
      <c r="R94" s="220">
        <f t="shared" si="27"/>
        <v>1180.1269999999997</v>
      </c>
    </row>
    <row r="95" spans="1:18" x14ac:dyDescent="0.2">
      <c r="G95" s="68" t="s">
        <v>223</v>
      </c>
      <c r="H95" s="216">
        <f t="shared" ref="H95:R95" si="28">H87</f>
        <v>2011</v>
      </c>
      <c r="I95" s="216">
        <f t="shared" si="28"/>
        <v>2012</v>
      </c>
      <c r="J95" s="216">
        <f t="shared" si="28"/>
        <v>2013</v>
      </c>
      <c r="K95" s="216">
        <f t="shared" si="28"/>
        <v>2014</v>
      </c>
      <c r="L95" s="216">
        <f t="shared" si="28"/>
        <v>2015</v>
      </c>
      <c r="M95" s="216">
        <f t="shared" si="28"/>
        <v>2016</v>
      </c>
      <c r="N95" s="216">
        <f t="shared" si="28"/>
        <v>2017</v>
      </c>
      <c r="O95" s="216">
        <f t="shared" si="28"/>
        <v>2018</v>
      </c>
      <c r="P95" s="216">
        <f t="shared" si="28"/>
        <v>2019</v>
      </c>
      <c r="Q95" s="216">
        <f t="shared" si="28"/>
        <v>2020</v>
      </c>
      <c r="R95" s="216">
        <f t="shared" si="28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219"/>
      <c r="F96" s="69"/>
      <c r="G96" s="210" t="s">
        <v>227</v>
      </c>
      <c r="H96" s="220">
        <f t="shared" ref="H96:R96" si="29">H6+H12</f>
        <v>84.438999999999993</v>
      </c>
      <c r="I96" s="211">
        <f t="shared" si="29"/>
        <v>65.412000000000006</v>
      </c>
      <c r="J96" s="211">
        <f t="shared" si="29"/>
        <v>138.69499999999999</v>
      </c>
      <c r="K96" s="211">
        <f t="shared" si="29"/>
        <v>276.14600000000002</v>
      </c>
      <c r="L96" s="211">
        <f t="shared" si="29"/>
        <v>228.43600000000001</v>
      </c>
      <c r="M96" s="211">
        <f t="shared" si="29"/>
        <v>162.84</v>
      </c>
      <c r="N96" s="211">
        <f t="shared" si="29"/>
        <v>85.680999999999997</v>
      </c>
      <c r="O96" s="211">
        <f t="shared" si="29"/>
        <v>88.421999999999997</v>
      </c>
      <c r="P96" s="211">
        <f t="shared" si="29"/>
        <v>65.438999999999993</v>
      </c>
      <c r="Q96" s="211">
        <f t="shared" si="29"/>
        <v>56.49</v>
      </c>
      <c r="R96" s="211">
        <f t="shared" si="29"/>
        <v>50.174999999999997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219"/>
      <c r="F97" s="69"/>
      <c r="G97" s="18" t="s">
        <v>230</v>
      </c>
      <c r="H97" s="220">
        <f>H19</f>
        <v>257.43299999999999</v>
      </c>
      <c r="I97" s="220">
        <f t="shared" ref="I97:R97" si="30">I19</f>
        <v>29.306000000000001</v>
      </c>
      <c r="J97" s="220">
        <f t="shared" si="30"/>
        <v>33.36</v>
      </c>
      <c r="K97" s="220">
        <f t="shared" si="30"/>
        <v>166.1</v>
      </c>
      <c r="L97" s="220">
        <f t="shared" si="30"/>
        <v>36.372999999999998</v>
      </c>
      <c r="M97" s="220">
        <f t="shared" si="30"/>
        <v>33.363999999999997</v>
      </c>
      <c r="N97" s="220">
        <f t="shared" si="30"/>
        <v>33.6</v>
      </c>
      <c r="O97" s="220">
        <f t="shared" si="30"/>
        <v>33.9</v>
      </c>
      <c r="P97" s="220">
        <f t="shared" si="30"/>
        <v>33.988999999999997</v>
      </c>
      <c r="Q97" s="220">
        <f t="shared" si="30"/>
        <v>36.299999999999997</v>
      </c>
      <c r="R97" s="220">
        <f t="shared" si="30"/>
        <v>36.4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219"/>
      <c r="F98" s="69"/>
      <c r="G98" s="18" t="s">
        <v>234</v>
      </c>
      <c r="H98" s="220">
        <f t="shared" ref="H98:R98" si="31">H97-H96</f>
        <v>172.994</v>
      </c>
      <c r="I98" s="211">
        <f t="shared" si="31"/>
        <v>-36.106000000000009</v>
      </c>
      <c r="J98" s="211">
        <f t="shared" si="31"/>
        <v>-105.33499999999999</v>
      </c>
      <c r="K98" s="211">
        <f t="shared" si="31"/>
        <v>-110.04600000000002</v>
      </c>
      <c r="L98" s="211">
        <f t="shared" si="31"/>
        <v>-192.06300000000002</v>
      </c>
      <c r="M98" s="211">
        <f t="shared" si="31"/>
        <v>-129.476</v>
      </c>
      <c r="N98" s="211">
        <f t="shared" si="31"/>
        <v>-52.080999999999996</v>
      </c>
      <c r="O98" s="211">
        <f t="shared" si="31"/>
        <v>-54.521999999999998</v>
      </c>
      <c r="P98" s="211">
        <f t="shared" si="31"/>
        <v>-31.449999999999996</v>
      </c>
      <c r="Q98" s="211">
        <f t="shared" si="31"/>
        <v>-20.190000000000005</v>
      </c>
      <c r="R98" s="211">
        <f t="shared" si="31"/>
        <v>-13.774999999999999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221">
        <v>0.4</v>
      </c>
      <c r="F99" s="69"/>
      <c r="G99" s="18" t="s">
        <v>238</v>
      </c>
      <c r="H99" s="227">
        <f t="shared" ref="H99:R99" si="32">H98/H33</f>
        <v>0.22235561165338058</v>
      </c>
      <c r="I99" s="223">
        <f t="shared" si="32"/>
        <v>-4.2359141132220696E-2</v>
      </c>
      <c r="J99" s="223">
        <f t="shared" si="32"/>
        <v>-0.13651061072412116</v>
      </c>
      <c r="K99" s="223">
        <f t="shared" si="32"/>
        <v>-0.11656933664816817</v>
      </c>
      <c r="L99" s="223">
        <f t="shared" si="32"/>
        <v>-0.19070536848177824</v>
      </c>
      <c r="M99" s="223">
        <f t="shared" si="32"/>
        <v>-0.13757548131123642</v>
      </c>
      <c r="N99" s="223">
        <f t="shared" si="32"/>
        <v>-6.1563576056389638E-2</v>
      </c>
      <c r="O99" s="223">
        <f t="shared" si="32"/>
        <v>-4.4920214343622089E-2</v>
      </c>
      <c r="P99" s="223">
        <f t="shared" si="32"/>
        <v>-3.3511814379711763E-2</v>
      </c>
      <c r="Q99" s="223">
        <f t="shared" si="32"/>
        <v>-1.6797102811746827E-2</v>
      </c>
      <c r="R99" s="223">
        <f t="shared" si="32"/>
        <v>-1.3289315390426095E-2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228">
        <v>0</v>
      </c>
      <c r="E100" s="228">
        <v>5</v>
      </c>
      <c r="F100" s="69"/>
      <c r="G100" s="18" t="s">
        <v>242</v>
      </c>
      <c r="H100" s="224">
        <f t="shared" ref="H100:R100" si="33">H98/H89</f>
        <v>0.58457940925019203</v>
      </c>
      <c r="I100" s="224">
        <f t="shared" si="33"/>
        <v>-0.12264682903631238</v>
      </c>
      <c r="J100" s="224">
        <f t="shared" si="33"/>
        <v>-1.1880914515164842</v>
      </c>
      <c r="K100" s="224">
        <f t="shared" si="33"/>
        <v>-0.381471030719847</v>
      </c>
      <c r="L100" s="224">
        <f t="shared" si="33"/>
        <v>-0.69325560829468114</v>
      </c>
      <c r="M100" s="224">
        <f t="shared" si="33"/>
        <v>-0.96376466384803194</v>
      </c>
      <c r="N100" s="224">
        <f t="shared" si="33"/>
        <v>-3.9182509648733275</v>
      </c>
      <c r="O100" s="224">
        <f t="shared" si="33"/>
        <v>-0.14548860443334374</v>
      </c>
      <c r="P100" s="224">
        <f t="shared" si="33"/>
        <v>-0.33005205272437271</v>
      </c>
      <c r="Q100" s="224">
        <f t="shared" si="33"/>
        <v>-5.6937394247038961E-2</v>
      </c>
      <c r="R100" s="224">
        <f t="shared" si="33"/>
        <v>-7.4489255161524062E-2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219"/>
      <c r="F101" s="69"/>
      <c r="G101" s="18" t="s">
        <v>246</v>
      </c>
      <c r="H101" s="220">
        <f t="shared" ref="H101:R101" si="34">-(H75+H77+H78+H79+H80+H81)</f>
        <v>64.367000000000004</v>
      </c>
      <c r="I101" s="220">
        <f t="shared" si="34"/>
        <v>0</v>
      </c>
      <c r="J101" s="220">
        <f t="shared" si="34"/>
        <v>0</v>
      </c>
      <c r="K101" s="220">
        <f t="shared" si="34"/>
        <v>0</v>
      </c>
      <c r="L101" s="220">
        <f t="shared" si="34"/>
        <v>0.08</v>
      </c>
      <c r="M101" s="220">
        <f t="shared" si="34"/>
        <v>0</v>
      </c>
      <c r="N101" s="220">
        <f t="shared" si="34"/>
        <v>0</v>
      </c>
      <c r="O101" s="220">
        <f t="shared" si="34"/>
        <v>0</v>
      </c>
      <c r="P101" s="220">
        <f t="shared" si="34"/>
        <v>0</v>
      </c>
      <c r="Q101" s="220">
        <f t="shared" si="34"/>
        <v>0</v>
      </c>
      <c r="R101" s="220">
        <f t="shared" si="34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228">
        <v>1.2</v>
      </c>
      <c r="F102" s="69"/>
      <c r="G102" s="18" t="s">
        <v>250</v>
      </c>
      <c r="H102" s="229">
        <f t="shared" ref="H102:R102" si="35">H89/H101</f>
        <v>4.5975266829275849</v>
      </c>
      <c r="I102" s="224" t="e">
        <f t="shared" si="35"/>
        <v>#DIV/0!</v>
      </c>
      <c r="J102" s="224" t="e">
        <f t="shared" si="35"/>
        <v>#DIV/0!</v>
      </c>
      <c r="K102" s="224" t="e">
        <f t="shared" si="35"/>
        <v>#DIV/0!</v>
      </c>
      <c r="L102" s="224">
        <f t="shared" si="35"/>
        <v>3463.0625000000014</v>
      </c>
      <c r="M102" s="224" t="e">
        <f t="shared" si="35"/>
        <v>#DIV/0!</v>
      </c>
      <c r="N102" s="224" t="e">
        <f t="shared" si="35"/>
        <v>#DIV/0!</v>
      </c>
      <c r="O102" s="224" t="e">
        <f t="shared" si="35"/>
        <v>#DIV/0!</v>
      </c>
      <c r="P102" s="224" t="e">
        <f t="shared" si="35"/>
        <v>#DIV/0!</v>
      </c>
      <c r="Q102" s="224" t="e">
        <f t="shared" si="35"/>
        <v>#DIV/0!</v>
      </c>
      <c r="R102" s="224" t="e">
        <f t="shared" si="35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228">
        <v>0</v>
      </c>
      <c r="F103" s="69"/>
      <c r="G103" s="210" t="s">
        <v>254</v>
      </c>
      <c r="H103" s="220">
        <f t="shared" ref="H103:R103" si="36">H5-H20</f>
        <v>-119.64900000000003</v>
      </c>
      <c r="I103" s="220">
        <f t="shared" si="36"/>
        <v>112.39300000000001</v>
      </c>
      <c r="J103" s="220">
        <f t="shared" si="36"/>
        <v>167.42899999999997</v>
      </c>
      <c r="K103" s="220">
        <f t="shared" si="36"/>
        <v>191.14400000000003</v>
      </c>
      <c r="L103" s="220">
        <f t="shared" si="36"/>
        <v>245.24600000000004</v>
      </c>
      <c r="M103" s="220">
        <f t="shared" si="36"/>
        <v>198.768</v>
      </c>
      <c r="N103" s="220">
        <f t="shared" si="36"/>
        <v>114.18100000000001</v>
      </c>
      <c r="O103" s="220">
        <f t="shared" si="36"/>
        <v>109.322</v>
      </c>
      <c r="P103" s="220">
        <f t="shared" si="36"/>
        <v>82.449999999999989</v>
      </c>
      <c r="Q103" s="220">
        <f t="shared" si="36"/>
        <v>77.39</v>
      </c>
      <c r="R103" s="220">
        <f t="shared" si="36"/>
        <v>64.656000000000006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228">
        <v>1</v>
      </c>
      <c r="F104" s="69"/>
      <c r="G104" s="18" t="s">
        <v>258</v>
      </c>
      <c r="H104" s="229">
        <f t="shared" ref="H104:R104" si="37">H5/H20</f>
        <v>0.53521734063628934</v>
      </c>
      <c r="I104" s="229">
        <f t="shared" si="37"/>
        <v>4.8351532109465643</v>
      </c>
      <c r="J104" s="229">
        <f t="shared" si="37"/>
        <v>6.0188549160671458</v>
      </c>
      <c r="K104" s="229">
        <f t="shared" si="37"/>
        <v>2.1507766405779654</v>
      </c>
      <c r="L104" s="229">
        <f t="shared" si="37"/>
        <v>7.7425287988343019</v>
      </c>
      <c r="M104" s="229">
        <f t="shared" si="37"/>
        <v>6.9575590456779768</v>
      </c>
      <c r="N104" s="229">
        <f t="shared" si="37"/>
        <v>4.3982440476190474</v>
      </c>
      <c r="O104" s="229">
        <f t="shared" si="37"/>
        <v>4.2248377581120948</v>
      </c>
      <c r="P104" s="229">
        <f t="shared" si="37"/>
        <v>3.4257848127335313</v>
      </c>
      <c r="Q104" s="229">
        <f t="shared" si="37"/>
        <v>3.1319559228650138</v>
      </c>
      <c r="R104" s="229">
        <f t="shared" si="37"/>
        <v>2.7762637362637363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228">
        <v>1</v>
      </c>
      <c r="F105" s="69"/>
      <c r="G105" s="186" t="s">
        <v>262</v>
      </c>
      <c r="H105" s="229">
        <f t="shared" ref="H105:R105" si="38">-H6/((H38+H41-H45+H47)/12)</f>
        <v>2.0374035103240677</v>
      </c>
      <c r="I105" s="229">
        <f t="shared" si="38"/>
        <v>1.3995563892078486</v>
      </c>
      <c r="J105" s="229">
        <f t="shared" si="38"/>
        <v>2.4369295104002244</v>
      </c>
      <c r="K105" s="229">
        <f t="shared" si="38"/>
        <v>5.0548339513790488</v>
      </c>
      <c r="L105" s="229">
        <f t="shared" si="38"/>
        <v>3.7580363899582152</v>
      </c>
      <c r="M105" s="229">
        <f t="shared" si="38"/>
        <v>2.4240078597159793</v>
      </c>
      <c r="N105" s="229">
        <f t="shared" si="38"/>
        <v>1.2356958778529075</v>
      </c>
      <c r="O105" s="229">
        <f t="shared" si="38"/>
        <v>1.2654296178537652</v>
      </c>
      <c r="P105" s="229">
        <f t="shared" si="38"/>
        <v>0.93180672024605538</v>
      </c>
      <c r="Q105" s="229">
        <f t="shared" si="38"/>
        <v>0.80038444145591847</v>
      </c>
      <c r="R105" s="229">
        <f t="shared" si="38"/>
        <v>0.70737842337203671</v>
      </c>
    </row>
    <row r="106" spans="1:18" x14ac:dyDescent="0.2">
      <c r="C106" s="16"/>
      <c r="F106" s="69"/>
      <c r="G106" s="68" t="s">
        <v>263</v>
      </c>
      <c r="H106" s="216">
        <f t="shared" ref="H106:R106" si="39">H95</f>
        <v>2011</v>
      </c>
      <c r="I106" s="216">
        <f t="shared" si="39"/>
        <v>2012</v>
      </c>
      <c r="J106" s="216">
        <f t="shared" si="39"/>
        <v>2013</v>
      </c>
      <c r="K106" s="216">
        <f t="shared" si="39"/>
        <v>2014</v>
      </c>
      <c r="L106" s="216">
        <f t="shared" si="39"/>
        <v>2015</v>
      </c>
      <c r="M106" s="216">
        <f t="shared" si="39"/>
        <v>2016</v>
      </c>
      <c r="N106" s="216">
        <f t="shared" si="39"/>
        <v>2017</v>
      </c>
      <c r="O106" s="216">
        <f t="shared" si="39"/>
        <v>2018</v>
      </c>
      <c r="P106" s="216">
        <f t="shared" si="39"/>
        <v>2019</v>
      </c>
      <c r="Q106" s="216">
        <f t="shared" si="39"/>
        <v>2020</v>
      </c>
      <c r="R106" s="216">
        <f t="shared" si="39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221">
        <v>0.6</v>
      </c>
      <c r="F107" s="69"/>
      <c r="G107" s="210" t="s">
        <v>267</v>
      </c>
      <c r="H107" s="227">
        <f t="shared" ref="H107:R107" si="40">H17/H4</f>
        <v>0</v>
      </c>
      <c r="I107" s="227">
        <f t="shared" si="40"/>
        <v>0</v>
      </c>
      <c r="J107" s="227">
        <f t="shared" si="40"/>
        <v>0</v>
      </c>
      <c r="K107" s="227">
        <f t="shared" si="40"/>
        <v>0</v>
      </c>
      <c r="L107" s="227">
        <f t="shared" si="40"/>
        <v>0</v>
      </c>
      <c r="M107" s="227">
        <f t="shared" si="40"/>
        <v>0</v>
      </c>
      <c r="N107" s="227">
        <f t="shared" si="40"/>
        <v>0</v>
      </c>
      <c r="O107" s="227">
        <f t="shared" si="40"/>
        <v>0</v>
      </c>
      <c r="P107" s="227">
        <f t="shared" si="40"/>
        <v>0</v>
      </c>
      <c r="Q107" s="227">
        <f t="shared" si="40"/>
        <v>0</v>
      </c>
      <c r="R107" s="227">
        <f t="shared" si="40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221">
        <v>0.4</v>
      </c>
      <c r="F108" s="69"/>
      <c r="G108" s="186" t="s">
        <v>271</v>
      </c>
      <c r="H108" s="227" t="e">
        <f t="shared" ref="H108:R108" si="41">H27/H17</f>
        <v>#DIV/0!</v>
      </c>
      <c r="I108" s="227" t="e">
        <f t="shared" si="41"/>
        <v>#DIV/0!</v>
      </c>
      <c r="J108" s="227" t="e">
        <f t="shared" si="41"/>
        <v>#DIV/0!</v>
      </c>
      <c r="K108" s="227" t="e">
        <f t="shared" si="41"/>
        <v>#DIV/0!</v>
      </c>
      <c r="L108" s="227" t="e">
        <f t="shared" si="41"/>
        <v>#DIV/0!</v>
      </c>
      <c r="M108" s="227" t="e">
        <f t="shared" si="41"/>
        <v>#DIV/0!</v>
      </c>
      <c r="N108" s="227" t="e">
        <f t="shared" si="41"/>
        <v>#DIV/0!</v>
      </c>
      <c r="O108" s="227" t="e">
        <f t="shared" si="41"/>
        <v>#DIV/0!</v>
      </c>
      <c r="P108" s="227" t="e">
        <f t="shared" si="41"/>
        <v>#DIV/0!</v>
      </c>
      <c r="Q108" s="227" t="e">
        <f t="shared" si="41"/>
        <v>#DIV/0!</v>
      </c>
      <c r="R108" s="227" t="e">
        <f t="shared" si="41"/>
        <v>#DIV/0!</v>
      </c>
    </row>
    <row r="109" spans="1:18" x14ac:dyDescent="0.2">
      <c r="C109" s="16"/>
      <c r="F109" s="69"/>
      <c r="G109" s="198" t="s">
        <v>272</v>
      </c>
      <c r="H109" s="216">
        <f t="shared" ref="H109:R109" si="42">H95</f>
        <v>2011</v>
      </c>
      <c r="I109" s="216">
        <f t="shared" si="42"/>
        <v>2012</v>
      </c>
      <c r="J109" s="216">
        <f t="shared" si="42"/>
        <v>2013</v>
      </c>
      <c r="K109" s="216">
        <f t="shared" si="42"/>
        <v>2014</v>
      </c>
      <c r="L109" s="216">
        <f t="shared" si="42"/>
        <v>2015</v>
      </c>
      <c r="M109" s="216">
        <f t="shared" si="42"/>
        <v>2016</v>
      </c>
      <c r="N109" s="216">
        <f t="shared" si="42"/>
        <v>2017</v>
      </c>
      <c r="O109" s="216">
        <f t="shared" si="42"/>
        <v>2018</v>
      </c>
      <c r="P109" s="216">
        <f t="shared" si="42"/>
        <v>2019</v>
      </c>
      <c r="Q109" s="216">
        <f t="shared" si="42"/>
        <v>2020</v>
      </c>
      <c r="R109" s="216">
        <f t="shared" si="42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219"/>
      <c r="F110" s="69"/>
      <c r="G110" s="18" t="s">
        <v>276</v>
      </c>
      <c r="H110" s="230">
        <f t="shared" ref="H110:R110" si="43">H10/H4</f>
        <v>0.95386094490277318</v>
      </c>
      <c r="I110" s="230">
        <f t="shared" si="43"/>
        <v>0.94986888693284577</v>
      </c>
      <c r="J110" s="230">
        <f t="shared" si="43"/>
        <v>0.92591473381343803</v>
      </c>
      <c r="K110" s="230">
        <f t="shared" si="43"/>
        <v>0.87878553450284769</v>
      </c>
      <c r="L110" s="230">
        <f t="shared" si="43"/>
        <v>0.90294174209197442</v>
      </c>
      <c r="M110" s="230">
        <f t="shared" si="43"/>
        <v>0.91711489626686393</v>
      </c>
      <c r="N110" s="230">
        <f t="shared" si="43"/>
        <v>0.9443036782012072</v>
      </c>
      <c r="O110" s="230">
        <f t="shared" si="43"/>
        <v>0.94968065121223944</v>
      </c>
      <c r="P110" s="230">
        <f t="shared" si="43"/>
        <v>0.95748510012301102</v>
      </c>
      <c r="Q110" s="230">
        <f t="shared" si="43"/>
        <v>0.960386980421015</v>
      </c>
      <c r="R110" s="230">
        <f t="shared" si="43"/>
        <v>0.96381132729520325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219"/>
      <c r="F111" s="69"/>
      <c r="G111" s="18" t="s">
        <v>280</v>
      </c>
      <c r="H111" s="230">
        <f t="shared" ref="H111:R111" si="44">-(H58)/H15</f>
        <v>8.2686573766399818E-2</v>
      </c>
      <c r="I111" s="230">
        <f t="shared" si="44"/>
        <v>2.2496442098292317E-2</v>
      </c>
      <c r="J111" s="230">
        <f t="shared" si="44"/>
        <v>1.3398935943410776E-2</v>
      </c>
      <c r="K111" s="230">
        <f t="shared" si="44"/>
        <v>0.10222621026872208</v>
      </c>
      <c r="L111" s="230">
        <f t="shared" si="44"/>
        <v>8.6827991772289836E-2</v>
      </c>
      <c r="M111" s="230">
        <f t="shared" si="44"/>
        <v>7.1392196895016427E-2</v>
      </c>
      <c r="N111" s="230">
        <f t="shared" si="44"/>
        <v>3.9312662987906068E-2</v>
      </c>
      <c r="O111" s="230">
        <f t="shared" si="44"/>
        <v>0.14058250731861432</v>
      </c>
      <c r="P111" s="230">
        <f t="shared" si="44"/>
        <v>4.6713967895873232E-2</v>
      </c>
      <c r="Q111" s="230">
        <f t="shared" si="44"/>
        <v>0.13060864353490842</v>
      </c>
      <c r="R111" s="230">
        <f t="shared" si="44"/>
        <v>7.3567113271061371E-2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219"/>
      <c r="F112" s="69"/>
      <c r="G112" s="210" t="s">
        <v>284</v>
      </c>
      <c r="H112" s="224">
        <f t="shared" ref="H112:R112" si="45">H33/H4</f>
        <v>0.26053274181471375</v>
      </c>
      <c r="I112" s="224">
        <f t="shared" si="45"/>
        <v>0.30155934688286284</v>
      </c>
      <c r="J112" s="224">
        <f t="shared" si="45"/>
        <v>0.28470704830048382</v>
      </c>
      <c r="K112" s="224">
        <f t="shared" si="45"/>
        <v>0.3203165981611058</v>
      </c>
      <c r="L112" s="224">
        <f t="shared" si="45"/>
        <v>0.34709737498561111</v>
      </c>
      <c r="M112" s="224">
        <f t="shared" si="45"/>
        <v>0.33603901668471009</v>
      </c>
      <c r="N112" s="224">
        <f t="shared" si="45"/>
        <v>0.31883309118524422</v>
      </c>
      <c r="O112" s="224">
        <f t="shared" si="45"/>
        <v>0.42643735061542132</v>
      </c>
      <c r="P112" s="224">
        <f t="shared" si="45"/>
        <v>0.34266157096898214</v>
      </c>
      <c r="Q112" s="224">
        <f t="shared" si="45"/>
        <v>0.41881055715368831</v>
      </c>
      <c r="R112" s="224">
        <f t="shared" si="45"/>
        <v>0.37119280523807546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219"/>
      <c r="F113" s="69"/>
      <c r="G113" s="186" t="s">
        <v>288</v>
      </c>
      <c r="H113" s="224">
        <f t="shared" ref="H113:R113" si="46">H33/H15</f>
        <v>0.2731349293698882</v>
      </c>
      <c r="I113" s="224">
        <f t="shared" si="46"/>
        <v>0.31747470733208955</v>
      </c>
      <c r="J113" s="224">
        <f t="shared" si="46"/>
        <v>0.30748732891191827</v>
      </c>
      <c r="K113" s="224">
        <f t="shared" si="46"/>
        <v>0.36449917025809647</v>
      </c>
      <c r="L113" s="224">
        <f t="shared" si="46"/>
        <v>0.38440727546988906</v>
      </c>
      <c r="M113" s="224">
        <f t="shared" si="46"/>
        <v>0.36640885242684879</v>
      </c>
      <c r="N113" s="224">
        <f t="shared" si="46"/>
        <v>0.3376383027466181</v>
      </c>
      <c r="O113" s="224">
        <f t="shared" si="46"/>
        <v>0.44903236690258624</v>
      </c>
      <c r="P113" s="224">
        <f t="shared" si="46"/>
        <v>0.35787666139656837</v>
      </c>
      <c r="Q113" s="224">
        <f t="shared" si="46"/>
        <v>0.43608520907904214</v>
      </c>
      <c r="R113" s="224">
        <f t="shared" si="46"/>
        <v>0.38513015434231745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221">
        <v>0.5</v>
      </c>
      <c r="E114" s="221">
        <f>1/3</f>
        <v>0.33333333333333331</v>
      </c>
      <c r="F114" s="69"/>
      <c r="G114" s="18" t="s">
        <v>292</v>
      </c>
      <c r="H114" s="230">
        <f t="shared" ref="H114:R114" si="47">H27/H4</f>
        <v>0.91379379628773849</v>
      </c>
      <c r="I114" s="230">
        <f t="shared" si="47"/>
        <v>0.98963194941710231</v>
      </c>
      <c r="J114" s="230">
        <f t="shared" si="47"/>
        <v>0.98769076709755055</v>
      </c>
      <c r="K114" s="230">
        <f t="shared" si="47"/>
        <v>0.94364119779886435</v>
      </c>
      <c r="L114" s="230">
        <f t="shared" si="47"/>
        <v>0.98746392440443798</v>
      </c>
      <c r="M114" s="230">
        <f t="shared" si="47"/>
        <v>0.98808739977319504</v>
      </c>
      <c r="N114" s="230">
        <f t="shared" si="47"/>
        <v>0.98733669137142488</v>
      </c>
      <c r="O114" s="230">
        <f t="shared" si="47"/>
        <v>0.98808963759823831</v>
      </c>
      <c r="P114" s="230">
        <f t="shared" si="47"/>
        <v>0.98758973426498864</v>
      </c>
      <c r="Q114" s="230">
        <f t="shared" si="47"/>
        <v>0.98735198688787795</v>
      </c>
      <c r="R114" s="230">
        <f t="shared" si="47"/>
        <v>0.98696497302035902</v>
      </c>
    </row>
    <row r="115" spans="1:19" x14ac:dyDescent="0.2">
      <c r="A115" s="77"/>
      <c r="C115" s="77"/>
      <c r="D115" s="78"/>
      <c r="E115" s="79"/>
      <c r="F115" s="69"/>
      <c r="G115" s="207" t="s">
        <v>293</v>
      </c>
      <c r="H115" s="216">
        <f t="shared" ref="H115:R115" si="48">H109</f>
        <v>2011</v>
      </c>
      <c r="I115" s="216">
        <f t="shared" si="48"/>
        <v>2012</v>
      </c>
      <c r="J115" s="216">
        <f t="shared" si="48"/>
        <v>2013</v>
      </c>
      <c r="K115" s="216">
        <f t="shared" si="48"/>
        <v>2014</v>
      </c>
      <c r="L115" s="216">
        <f t="shared" si="48"/>
        <v>2015</v>
      </c>
      <c r="M115" s="216">
        <f t="shared" si="48"/>
        <v>2016</v>
      </c>
      <c r="N115" s="216">
        <f t="shared" si="48"/>
        <v>2017</v>
      </c>
      <c r="O115" s="216">
        <f t="shared" si="48"/>
        <v>2018</v>
      </c>
      <c r="P115" s="216">
        <f t="shared" si="48"/>
        <v>2019</v>
      </c>
      <c r="Q115" s="216">
        <f t="shared" si="48"/>
        <v>2020</v>
      </c>
      <c r="R115" s="216">
        <f t="shared" si="48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221">
        <v>0.05</v>
      </c>
      <c r="G116" s="210" t="s">
        <v>297</v>
      </c>
      <c r="H116" s="223">
        <f t="shared" ref="H116:R116" si="49">H35/H33</f>
        <v>0.31923789790824236</v>
      </c>
      <c r="I116" s="223">
        <f t="shared" si="49"/>
        <v>0.31456114540731933</v>
      </c>
      <c r="J116" s="223">
        <f t="shared" si="49"/>
        <v>0.39568184027215292</v>
      </c>
      <c r="K116" s="223">
        <f t="shared" si="49"/>
        <v>0.30983253869808347</v>
      </c>
      <c r="L116" s="223">
        <f t="shared" si="49"/>
        <v>0.32073568267503644</v>
      </c>
      <c r="M116" s="223">
        <f t="shared" si="49"/>
        <v>0.36929766120831725</v>
      </c>
      <c r="N116" s="223">
        <f t="shared" si="49"/>
        <v>0.3978788871013309</v>
      </c>
      <c r="O116" s="223">
        <f t="shared" si="49"/>
        <v>0.28702321396792757</v>
      </c>
      <c r="P116" s="223">
        <f t="shared" si="49"/>
        <v>0.37492527771118039</v>
      </c>
      <c r="Q116" s="223">
        <f t="shared" si="49"/>
        <v>0.29565563193795635</v>
      </c>
      <c r="R116" s="223">
        <f t="shared" si="49"/>
        <v>0.346274698590609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221">
        <v>0.95</v>
      </c>
      <c r="G117" s="18" t="s">
        <v>301</v>
      </c>
      <c r="H117" s="230">
        <f t="shared" ref="H117:R117" si="50">(H36+H34)/H33</f>
        <v>0.68076210209175758</v>
      </c>
      <c r="I117" s="230">
        <f t="shared" si="50"/>
        <v>0.68534030676530844</v>
      </c>
      <c r="J117" s="230">
        <f t="shared" si="50"/>
        <v>0.60431815972784708</v>
      </c>
      <c r="K117" s="230">
        <f t="shared" si="50"/>
        <v>0.69016746130191653</v>
      </c>
      <c r="L117" s="230">
        <f t="shared" si="50"/>
        <v>0.67926431732496362</v>
      </c>
      <c r="M117" s="230">
        <f t="shared" si="50"/>
        <v>0.61042346038313644</v>
      </c>
      <c r="N117" s="230">
        <f t="shared" si="50"/>
        <v>0.6021211128986691</v>
      </c>
      <c r="O117" s="230">
        <f t="shared" si="50"/>
        <v>0.66766275153408605</v>
      </c>
      <c r="P117" s="230">
        <f t="shared" si="50"/>
        <v>0.62507472228881966</v>
      </c>
      <c r="Q117" s="230">
        <f t="shared" si="50"/>
        <v>0.62114920802367402</v>
      </c>
      <c r="R117" s="230">
        <f t="shared" si="50"/>
        <v>0.65372530140939089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221">
        <v>0.95</v>
      </c>
      <c r="G118" s="186" t="s">
        <v>305</v>
      </c>
      <c r="H118" s="223">
        <f t="shared" ref="H118:R118" si="51">H38/(H38+H41)</f>
        <v>1.4545031417267861E-4</v>
      </c>
      <c r="I118" s="223">
        <f t="shared" si="51"/>
        <v>0</v>
      </c>
      <c r="J118" s="223">
        <f t="shared" si="51"/>
        <v>4.2040075963614595E-4</v>
      </c>
      <c r="K118" s="223">
        <f t="shared" si="51"/>
        <v>1.3098138397311785E-4</v>
      </c>
      <c r="L118" s="223">
        <f t="shared" si="51"/>
        <v>1.1908731481922546E-4</v>
      </c>
      <c r="M118" s="223">
        <f t="shared" si="51"/>
        <v>0</v>
      </c>
      <c r="N118" s="223">
        <f t="shared" si="51"/>
        <v>1.1064827719123573E-4</v>
      </c>
      <c r="O118" s="223">
        <f t="shared" si="51"/>
        <v>0</v>
      </c>
      <c r="P118" s="223">
        <f t="shared" si="51"/>
        <v>0</v>
      </c>
      <c r="Q118" s="223">
        <f t="shared" si="51"/>
        <v>0</v>
      </c>
      <c r="R118" s="223">
        <f t="shared" si="51"/>
        <v>0</v>
      </c>
    </row>
    <row r="119" spans="1:19" x14ac:dyDescent="0.2">
      <c r="A119" s="77"/>
      <c r="C119" s="78"/>
      <c r="D119" s="78"/>
      <c r="E119" s="79"/>
      <c r="F119" s="69"/>
      <c r="G119" s="207" t="s">
        <v>306</v>
      </c>
      <c r="H119" s="216">
        <f>H115</f>
        <v>2011</v>
      </c>
      <c r="I119" s="216">
        <f t="shared" ref="I119:R119" si="52">I115</f>
        <v>2012</v>
      </c>
      <c r="J119" s="216">
        <f t="shared" si="52"/>
        <v>2013</v>
      </c>
      <c r="K119" s="216">
        <f t="shared" si="52"/>
        <v>2014</v>
      </c>
      <c r="L119" s="216">
        <f t="shared" si="52"/>
        <v>2015</v>
      </c>
      <c r="M119" s="216">
        <f t="shared" si="52"/>
        <v>2016</v>
      </c>
      <c r="N119" s="216">
        <f t="shared" si="52"/>
        <v>2017</v>
      </c>
      <c r="O119" s="216">
        <f t="shared" si="52"/>
        <v>2018</v>
      </c>
      <c r="P119" s="216">
        <f t="shared" si="52"/>
        <v>2019</v>
      </c>
      <c r="Q119" s="216">
        <f t="shared" si="52"/>
        <v>2020</v>
      </c>
      <c r="R119" s="216">
        <f t="shared" si="52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231">
        <v>0.5</v>
      </c>
      <c r="E120" s="232" t="s">
        <v>310</v>
      </c>
      <c r="F120" s="4"/>
      <c r="G120" s="210" t="s">
        <v>311</v>
      </c>
      <c r="H120" s="224" t="str">
        <f t="shared" ref="H120:R120" si="53">IF(H116&lt;$D$120,$E$120,H35/H4)</f>
        <v>N/A</v>
      </c>
      <c r="I120" s="224" t="str">
        <f t="shared" si="53"/>
        <v>N/A</v>
      </c>
      <c r="J120" s="224" t="str">
        <f t="shared" si="53"/>
        <v>N/A</v>
      </c>
      <c r="K120" s="224" t="str">
        <f t="shared" si="53"/>
        <v>N/A</v>
      </c>
      <c r="L120" s="224" t="str">
        <f t="shared" si="53"/>
        <v>N/A</v>
      </c>
      <c r="M120" s="224" t="str">
        <f t="shared" si="53"/>
        <v>N/A</v>
      </c>
      <c r="N120" s="224" t="str">
        <f t="shared" si="53"/>
        <v>N/A</v>
      </c>
      <c r="O120" s="224" t="str">
        <f t="shared" si="53"/>
        <v>N/A</v>
      </c>
      <c r="P120" s="224" t="str">
        <f t="shared" si="53"/>
        <v>N/A</v>
      </c>
      <c r="Q120" s="224" t="str">
        <f t="shared" si="53"/>
        <v>N/A</v>
      </c>
      <c r="R120" s="224" t="str">
        <f t="shared" si="53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231">
        <v>0.5</v>
      </c>
      <c r="E121" s="232" t="s">
        <v>310</v>
      </c>
      <c r="F121" s="4"/>
      <c r="G121" s="18" t="s">
        <v>315</v>
      </c>
      <c r="H121" s="224" t="str">
        <f t="shared" ref="H121:R121" si="54">IF(H116&lt;$D$121,$E$121,H35/H15)</f>
        <v>N/A</v>
      </c>
      <c r="I121" s="224" t="str">
        <f t="shared" si="54"/>
        <v>N/A</v>
      </c>
      <c r="J121" s="224" t="str">
        <f t="shared" si="54"/>
        <v>N/A</v>
      </c>
      <c r="K121" s="224" t="str">
        <f t="shared" si="54"/>
        <v>N/A</v>
      </c>
      <c r="L121" s="224" t="str">
        <f t="shared" si="54"/>
        <v>N/A</v>
      </c>
      <c r="M121" s="224" t="str">
        <f t="shared" si="54"/>
        <v>N/A</v>
      </c>
      <c r="N121" s="224" t="str">
        <f t="shared" si="54"/>
        <v>N/A</v>
      </c>
      <c r="O121" s="224" t="str">
        <f t="shared" si="54"/>
        <v>N/A</v>
      </c>
      <c r="P121" s="224" t="str">
        <f t="shared" si="54"/>
        <v>N/A</v>
      </c>
      <c r="Q121" s="224" t="str">
        <f t="shared" si="54"/>
        <v>N/A</v>
      </c>
      <c r="R121" s="224" t="str">
        <f t="shared" si="54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231">
        <v>0.5</v>
      </c>
      <c r="E122" s="232" t="s">
        <v>310</v>
      </c>
      <c r="F122" s="4"/>
      <c r="G122" s="210" t="s">
        <v>318</v>
      </c>
      <c r="H122" s="230" t="str">
        <f t="shared" ref="H122:R122" si="55">IF(H116&lt;$D$122,$E$122,H46/H33)</f>
        <v>N/A</v>
      </c>
      <c r="I122" s="230" t="str">
        <f t="shared" si="55"/>
        <v>N/A</v>
      </c>
      <c r="J122" s="230" t="str">
        <f t="shared" si="55"/>
        <v>N/A</v>
      </c>
      <c r="K122" s="230" t="str">
        <f t="shared" si="55"/>
        <v>N/A</v>
      </c>
      <c r="L122" s="230" t="str">
        <f t="shared" si="55"/>
        <v>N/A</v>
      </c>
      <c r="M122" s="230" t="str">
        <f t="shared" si="55"/>
        <v>N/A</v>
      </c>
      <c r="N122" s="230" t="str">
        <f t="shared" si="55"/>
        <v>N/A</v>
      </c>
      <c r="O122" s="230" t="str">
        <f t="shared" si="55"/>
        <v>N/A</v>
      </c>
      <c r="P122" s="230" t="str">
        <f t="shared" si="55"/>
        <v>N/A</v>
      </c>
      <c r="Q122" s="230" t="str">
        <f t="shared" si="55"/>
        <v>N/A</v>
      </c>
      <c r="R122" s="230" t="str">
        <f t="shared" si="55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231">
        <v>0.5</v>
      </c>
      <c r="E123" s="232" t="s">
        <v>310</v>
      </c>
      <c r="F123" s="4"/>
      <c r="G123" s="18" t="s">
        <v>322</v>
      </c>
      <c r="H123" s="230" t="str">
        <f t="shared" ref="H123:R123" si="56">IF(H116&lt;$D$122,$E$123,H51/H33)</f>
        <v>N/A</v>
      </c>
      <c r="I123" s="230" t="str">
        <f t="shared" si="56"/>
        <v>N/A</v>
      </c>
      <c r="J123" s="230" t="str">
        <f t="shared" si="56"/>
        <v>N/A</v>
      </c>
      <c r="K123" s="230" t="str">
        <f t="shared" si="56"/>
        <v>N/A</v>
      </c>
      <c r="L123" s="230" t="str">
        <f t="shared" si="56"/>
        <v>N/A</v>
      </c>
      <c r="M123" s="230" t="str">
        <f t="shared" si="56"/>
        <v>N/A</v>
      </c>
      <c r="N123" s="230" t="str">
        <f t="shared" si="56"/>
        <v>N/A</v>
      </c>
      <c r="O123" s="230" t="str">
        <f t="shared" si="56"/>
        <v>N/A</v>
      </c>
      <c r="P123" s="230" t="str">
        <f t="shared" si="56"/>
        <v>N/A</v>
      </c>
      <c r="Q123" s="230" t="str">
        <f t="shared" si="56"/>
        <v>N/A</v>
      </c>
      <c r="R123" s="230" t="str">
        <f t="shared" si="56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231">
        <v>0.5</v>
      </c>
      <c r="E124" s="232" t="s">
        <v>310</v>
      </c>
      <c r="F124" s="4"/>
      <c r="G124" s="18" t="s">
        <v>326</v>
      </c>
      <c r="H124" s="230" t="str">
        <f t="shared" ref="H124:R124" si="57">IF(H116&lt;$D$124,$E$124,H51/H4)</f>
        <v>N/A</v>
      </c>
      <c r="I124" s="230" t="str">
        <f t="shared" si="57"/>
        <v>N/A</v>
      </c>
      <c r="J124" s="230" t="str">
        <f t="shared" si="57"/>
        <v>N/A</v>
      </c>
      <c r="K124" s="230" t="str">
        <f t="shared" si="57"/>
        <v>N/A</v>
      </c>
      <c r="L124" s="230" t="str">
        <f t="shared" si="57"/>
        <v>N/A</v>
      </c>
      <c r="M124" s="230" t="str">
        <f t="shared" si="57"/>
        <v>N/A</v>
      </c>
      <c r="N124" s="230" t="str">
        <f t="shared" si="57"/>
        <v>N/A</v>
      </c>
      <c r="O124" s="230" t="str">
        <f t="shared" si="57"/>
        <v>N/A</v>
      </c>
      <c r="P124" s="230" t="str">
        <f t="shared" si="57"/>
        <v>N/A</v>
      </c>
      <c r="Q124" s="230" t="str">
        <f t="shared" si="57"/>
        <v>N/A</v>
      </c>
      <c r="R124" s="230" t="str">
        <f t="shared" si="57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231">
        <v>0.5</v>
      </c>
      <c r="E125" s="232" t="s">
        <v>310</v>
      </c>
      <c r="F125" s="4"/>
      <c r="G125" s="186" t="s">
        <v>330</v>
      </c>
      <c r="H125" s="230" t="str">
        <f t="shared" ref="H125:R125" si="58">IF(H116&lt;$D$125,$E$125,H51/H27)</f>
        <v>N/A</v>
      </c>
      <c r="I125" s="230" t="str">
        <f t="shared" si="58"/>
        <v>N/A</v>
      </c>
      <c r="J125" s="230" t="str">
        <f t="shared" si="58"/>
        <v>N/A</v>
      </c>
      <c r="K125" s="230" t="str">
        <f t="shared" si="58"/>
        <v>N/A</v>
      </c>
      <c r="L125" s="230" t="str">
        <f t="shared" si="58"/>
        <v>N/A</v>
      </c>
      <c r="M125" s="230" t="str">
        <f t="shared" si="58"/>
        <v>N/A</v>
      </c>
      <c r="N125" s="230" t="str">
        <f t="shared" si="58"/>
        <v>N/A</v>
      </c>
      <c r="O125" s="230" t="str">
        <f t="shared" si="58"/>
        <v>N/A</v>
      </c>
      <c r="P125" s="230" t="str">
        <f t="shared" si="58"/>
        <v>N/A</v>
      </c>
      <c r="Q125" s="230" t="str">
        <f t="shared" si="58"/>
        <v>N/A</v>
      </c>
      <c r="R125" s="230" t="str">
        <f t="shared" si="58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216">
        <f>H119</f>
        <v>2011</v>
      </c>
      <c r="I127" s="216">
        <f t="shared" ref="I127:R127" si="59">I119</f>
        <v>2012</v>
      </c>
      <c r="J127" s="216">
        <f t="shared" si="59"/>
        <v>2013</v>
      </c>
      <c r="K127" s="216">
        <f t="shared" si="59"/>
        <v>2014</v>
      </c>
      <c r="L127" s="216">
        <f t="shared" si="59"/>
        <v>2015</v>
      </c>
      <c r="M127" s="216">
        <f t="shared" si="59"/>
        <v>2016</v>
      </c>
      <c r="N127" s="216">
        <f t="shared" si="59"/>
        <v>2017</v>
      </c>
      <c r="O127" s="216">
        <f t="shared" si="59"/>
        <v>2018</v>
      </c>
      <c r="P127" s="216">
        <f t="shared" si="59"/>
        <v>2019</v>
      </c>
      <c r="Q127" s="216">
        <f t="shared" si="59"/>
        <v>2020</v>
      </c>
      <c r="R127" s="216">
        <f t="shared" si="59"/>
        <v>2021</v>
      </c>
    </row>
    <row r="128" spans="1:19" x14ac:dyDescent="0.2">
      <c r="G128" s="233" t="s">
        <v>331</v>
      </c>
      <c r="H128" s="234">
        <f t="shared" ref="H128:R128" si="60">H33</f>
        <v>778.00599999999997</v>
      </c>
      <c r="I128" s="234">
        <f t="shared" si="60"/>
        <v>852.37799999999993</v>
      </c>
      <c r="J128" s="234">
        <f t="shared" si="60"/>
        <v>771.625</v>
      </c>
      <c r="K128" s="234">
        <f t="shared" si="60"/>
        <v>944.03899999999999</v>
      </c>
      <c r="L128" s="234">
        <f t="shared" si="60"/>
        <v>1007.119</v>
      </c>
      <c r="M128" s="234">
        <f t="shared" si="60"/>
        <v>941.12699999999995</v>
      </c>
      <c r="N128" s="234">
        <f t="shared" si="60"/>
        <v>845.971</v>
      </c>
      <c r="O128" s="234">
        <f t="shared" si="60"/>
        <v>1213.752</v>
      </c>
      <c r="P128" s="234">
        <f t="shared" si="60"/>
        <v>938.47499999999991</v>
      </c>
      <c r="Q128" s="234">
        <f t="shared" si="60"/>
        <v>1201.9929999999999</v>
      </c>
      <c r="R128" s="234">
        <f t="shared" si="60"/>
        <v>1036.547</v>
      </c>
    </row>
    <row r="129" spans="3:19" x14ac:dyDescent="0.2">
      <c r="G129" s="233" t="s">
        <v>332</v>
      </c>
      <c r="H129" s="234">
        <f t="shared" ref="H129:R130" si="61">H35</f>
        <v>248.369</v>
      </c>
      <c r="I129" s="234">
        <f t="shared" si="61"/>
        <v>268.125</v>
      </c>
      <c r="J129" s="234">
        <f t="shared" si="61"/>
        <v>305.31799999999998</v>
      </c>
      <c r="K129" s="234">
        <f t="shared" si="61"/>
        <v>292.49400000000003</v>
      </c>
      <c r="L129" s="234">
        <f t="shared" si="61"/>
        <v>323.01900000000001</v>
      </c>
      <c r="M129" s="234">
        <f t="shared" si="61"/>
        <v>347.55599999999998</v>
      </c>
      <c r="N129" s="234">
        <f t="shared" si="61"/>
        <v>336.59399999999999</v>
      </c>
      <c r="O129" s="234">
        <f t="shared" si="61"/>
        <v>348.375</v>
      </c>
      <c r="P129" s="234">
        <f t="shared" si="61"/>
        <v>351.858</v>
      </c>
      <c r="Q129" s="234">
        <f t="shared" si="61"/>
        <v>355.37599999999998</v>
      </c>
      <c r="R129" s="234">
        <f t="shared" si="61"/>
        <v>358.93</v>
      </c>
    </row>
    <row r="130" spans="3:19" x14ac:dyDescent="0.2">
      <c r="G130" s="233" t="s">
        <v>333</v>
      </c>
      <c r="H130" s="234">
        <f t="shared" si="61"/>
        <v>529.63699999999994</v>
      </c>
      <c r="I130" s="234">
        <f t="shared" si="61"/>
        <v>584.16899999999998</v>
      </c>
      <c r="J130" s="234">
        <f t="shared" si="61"/>
        <v>466.30700000000002</v>
      </c>
      <c r="K130" s="234">
        <f t="shared" si="61"/>
        <v>651.54499999999996</v>
      </c>
      <c r="L130" s="234">
        <f t="shared" si="61"/>
        <v>684.1</v>
      </c>
      <c r="M130" s="234">
        <f t="shared" si="61"/>
        <v>574.48599999999999</v>
      </c>
      <c r="N130" s="234">
        <f t="shared" si="61"/>
        <v>509.37700000000001</v>
      </c>
      <c r="O130" s="234">
        <f t="shared" si="61"/>
        <v>810.37699999999995</v>
      </c>
      <c r="P130" s="234">
        <f t="shared" si="61"/>
        <v>586.61699999999996</v>
      </c>
      <c r="Q130" s="234">
        <f t="shared" si="61"/>
        <v>746.61699999999996</v>
      </c>
      <c r="R130" s="234">
        <f t="shared" si="61"/>
        <v>677.61699999999996</v>
      </c>
    </row>
    <row r="131" spans="3:19" x14ac:dyDescent="0.2">
      <c r="G131" s="233" t="s">
        <v>334</v>
      </c>
      <c r="H131" s="234">
        <f t="shared" ref="H131:R131" si="62">H38+H41</f>
        <v>-687.5200000000001</v>
      </c>
      <c r="I131" s="234">
        <f t="shared" si="62"/>
        <v>-781.03399999999988</v>
      </c>
      <c r="J131" s="234">
        <f t="shared" si="62"/>
        <v>-892.00599999999997</v>
      </c>
      <c r="K131" s="234">
        <f t="shared" si="62"/>
        <v>-839.81399999999996</v>
      </c>
      <c r="L131" s="234">
        <f t="shared" si="62"/>
        <v>-923.69199999999989</v>
      </c>
      <c r="M131" s="234">
        <f t="shared" si="62"/>
        <v>-1039.55</v>
      </c>
      <c r="N131" s="234">
        <f t="shared" si="62"/>
        <v>-994.14109999999994</v>
      </c>
      <c r="O131" s="234">
        <f t="shared" si="62"/>
        <v>-1021.516</v>
      </c>
      <c r="P131" s="234">
        <f t="shared" si="62"/>
        <v>-1046.384</v>
      </c>
      <c r="Q131" s="234">
        <f t="shared" si="62"/>
        <v>-1073.4090000000001</v>
      </c>
      <c r="R131" s="234">
        <f t="shared" si="62"/>
        <v>-1114.527</v>
      </c>
    </row>
    <row r="132" spans="3:19" x14ac:dyDescent="0.2">
      <c r="G132" s="233" t="s">
        <v>335</v>
      </c>
      <c r="H132" s="234">
        <f t="shared" ref="H132:R132" si="63">H41</f>
        <v>-687.42000000000007</v>
      </c>
      <c r="I132" s="234">
        <f t="shared" si="63"/>
        <v>-781.03399999999988</v>
      </c>
      <c r="J132" s="234">
        <f t="shared" si="63"/>
        <v>-891.63099999999997</v>
      </c>
      <c r="K132" s="234">
        <f t="shared" si="63"/>
        <v>-839.70399999999995</v>
      </c>
      <c r="L132" s="234">
        <f t="shared" si="63"/>
        <v>-923.58199999999988</v>
      </c>
      <c r="M132" s="234">
        <f t="shared" si="63"/>
        <v>-1039.55</v>
      </c>
      <c r="N132" s="234">
        <f t="shared" si="63"/>
        <v>-994.03109999999992</v>
      </c>
      <c r="O132" s="234">
        <f t="shared" si="63"/>
        <v>-1021.516</v>
      </c>
      <c r="P132" s="234">
        <f t="shared" si="63"/>
        <v>-1046.384</v>
      </c>
      <c r="Q132" s="234">
        <f t="shared" si="63"/>
        <v>-1073.4090000000001</v>
      </c>
      <c r="R132" s="234">
        <f t="shared" si="63"/>
        <v>-1114.527</v>
      </c>
    </row>
    <row r="133" spans="3:19" x14ac:dyDescent="0.2">
      <c r="G133" s="233" t="s">
        <v>336</v>
      </c>
      <c r="H133" s="234">
        <f t="shared" ref="H133:R133" si="64">H38</f>
        <v>-0.1</v>
      </c>
      <c r="I133" s="234">
        <f t="shared" si="64"/>
        <v>0</v>
      </c>
      <c r="J133" s="234">
        <f t="shared" si="64"/>
        <v>-0.375</v>
      </c>
      <c r="K133" s="234">
        <f t="shared" si="64"/>
        <v>-0.11</v>
      </c>
      <c r="L133" s="234">
        <f t="shared" si="64"/>
        <v>-0.11</v>
      </c>
      <c r="M133" s="234">
        <f t="shared" si="64"/>
        <v>0</v>
      </c>
      <c r="N133" s="234">
        <f t="shared" si="64"/>
        <v>-0.11</v>
      </c>
      <c r="O133" s="234">
        <f t="shared" si="64"/>
        <v>0</v>
      </c>
      <c r="P133" s="234">
        <f t="shared" si="64"/>
        <v>0</v>
      </c>
      <c r="Q133" s="234">
        <f t="shared" si="64"/>
        <v>0</v>
      </c>
      <c r="R133" s="234">
        <f t="shared" si="64"/>
        <v>0</v>
      </c>
    </row>
    <row r="134" spans="3:19" x14ac:dyDescent="0.2">
      <c r="G134" s="233" t="s">
        <v>337</v>
      </c>
      <c r="H134" s="234">
        <f t="shared" ref="H134:R134" si="65">H46</f>
        <v>90.485999999999876</v>
      </c>
      <c r="I134" s="234">
        <f t="shared" si="65"/>
        <v>71.344000000000051</v>
      </c>
      <c r="J134" s="234">
        <f t="shared" si="65"/>
        <v>-120.38099999999997</v>
      </c>
      <c r="K134" s="234">
        <f t="shared" si="65"/>
        <v>104.22500000000002</v>
      </c>
      <c r="L134" s="234">
        <f t="shared" si="65"/>
        <v>83.427000000000135</v>
      </c>
      <c r="M134" s="234">
        <f t="shared" si="65"/>
        <v>-98.423000000000002</v>
      </c>
      <c r="N134" s="234">
        <f t="shared" si="65"/>
        <v>-148.17009999999993</v>
      </c>
      <c r="O134" s="234">
        <f t="shared" si="65"/>
        <v>192.23599999999999</v>
      </c>
      <c r="P134" s="234">
        <f t="shared" si="65"/>
        <v>-107.90900000000011</v>
      </c>
      <c r="Q134" s="234">
        <f t="shared" si="65"/>
        <v>128.58399999999983</v>
      </c>
      <c r="R134" s="234">
        <f t="shared" si="65"/>
        <v>-77.980000000000018</v>
      </c>
    </row>
    <row r="135" spans="3:19" x14ac:dyDescent="0.2">
      <c r="G135" s="233" t="s">
        <v>338</v>
      </c>
      <c r="H135" s="234">
        <f t="shared" ref="H135:R135" si="66">H51</f>
        <v>75.229999999999876</v>
      </c>
      <c r="I135" s="234">
        <f t="shared" si="66"/>
        <v>68.480000000000047</v>
      </c>
      <c r="J135" s="234">
        <f t="shared" si="66"/>
        <v>-120.38099999999997</v>
      </c>
      <c r="K135" s="234">
        <f t="shared" si="66"/>
        <v>104.22500000000002</v>
      </c>
      <c r="L135" s="234">
        <f t="shared" si="66"/>
        <v>84.069000000000131</v>
      </c>
      <c r="M135" s="234">
        <f t="shared" si="66"/>
        <v>-97.775999999999996</v>
      </c>
      <c r="N135" s="234">
        <f t="shared" si="66"/>
        <v>-147.55009999999993</v>
      </c>
      <c r="O135" s="234">
        <f t="shared" si="66"/>
        <v>192.73599999999999</v>
      </c>
      <c r="P135" s="234">
        <f t="shared" si="66"/>
        <v>-107.4590000000001</v>
      </c>
      <c r="Q135" s="234">
        <f t="shared" si="66"/>
        <v>129.03399999999982</v>
      </c>
      <c r="R135" s="234">
        <f t="shared" si="66"/>
        <v>-77.530000000000015</v>
      </c>
    </row>
    <row r="136" spans="3:19" x14ac:dyDescent="0.2">
      <c r="G136" s="233" t="s">
        <v>339</v>
      </c>
      <c r="H136" s="234">
        <f t="shared" ref="H136:R137" si="67">H4</f>
        <v>2986.212</v>
      </c>
      <c r="I136" s="234">
        <f t="shared" si="67"/>
        <v>2826.5680000000002</v>
      </c>
      <c r="J136" s="234">
        <f t="shared" si="67"/>
        <v>2710.2420000000002</v>
      </c>
      <c r="K136" s="234">
        <f t="shared" si="67"/>
        <v>2947.2060000000001</v>
      </c>
      <c r="L136" s="234">
        <f t="shared" si="67"/>
        <v>2901.5460000000003</v>
      </c>
      <c r="M136" s="234">
        <f t="shared" si="67"/>
        <v>2800.6480000000001</v>
      </c>
      <c r="N136" s="234">
        <f t="shared" si="67"/>
        <v>2653.335</v>
      </c>
      <c r="O136" s="234">
        <f t="shared" si="67"/>
        <v>2846.2610000000004</v>
      </c>
      <c r="P136" s="234">
        <f t="shared" si="67"/>
        <v>2738.7809999999999</v>
      </c>
      <c r="Q136" s="234">
        <f t="shared" si="67"/>
        <v>2870.0160000000001</v>
      </c>
      <c r="R136" s="234">
        <f t="shared" si="67"/>
        <v>2792.4760000000001</v>
      </c>
    </row>
    <row r="137" spans="3:19" x14ac:dyDescent="0.2">
      <c r="G137" s="233" t="s">
        <v>340</v>
      </c>
      <c r="H137" s="234">
        <f t="shared" si="67"/>
        <v>137.78099999999998</v>
      </c>
      <c r="I137" s="234">
        <f t="shared" si="67"/>
        <v>141.69900000000001</v>
      </c>
      <c r="J137" s="234">
        <f t="shared" si="67"/>
        <v>200.78899999999999</v>
      </c>
      <c r="K137" s="234">
        <f t="shared" si="67"/>
        <v>357.24400000000003</v>
      </c>
      <c r="L137" s="234">
        <f t="shared" si="67"/>
        <v>281.61900000000003</v>
      </c>
      <c r="M137" s="234">
        <f t="shared" si="67"/>
        <v>232.13200000000001</v>
      </c>
      <c r="N137" s="234">
        <f t="shared" si="67"/>
        <v>147.78100000000001</v>
      </c>
      <c r="O137" s="234">
        <f t="shared" si="67"/>
        <v>143.22200000000001</v>
      </c>
      <c r="P137" s="234">
        <f t="shared" si="67"/>
        <v>116.43899999999999</v>
      </c>
      <c r="Q137" s="234">
        <f t="shared" si="67"/>
        <v>113.69</v>
      </c>
      <c r="R137" s="234">
        <f t="shared" si="67"/>
        <v>101.056</v>
      </c>
    </row>
    <row r="138" spans="3:19" x14ac:dyDescent="0.2">
      <c r="G138" s="233" t="s">
        <v>341</v>
      </c>
      <c r="H138" s="234">
        <f t="shared" ref="H138:R138" si="68">H10</f>
        <v>2848.431</v>
      </c>
      <c r="I138" s="234">
        <f t="shared" si="68"/>
        <v>2684.8690000000001</v>
      </c>
      <c r="J138" s="234">
        <f t="shared" si="68"/>
        <v>2509.453</v>
      </c>
      <c r="K138" s="234">
        <f t="shared" si="68"/>
        <v>2589.962</v>
      </c>
      <c r="L138" s="234">
        <f t="shared" si="68"/>
        <v>2619.9270000000001</v>
      </c>
      <c r="M138" s="234">
        <f t="shared" si="68"/>
        <v>2568.5160000000001</v>
      </c>
      <c r="N138" s="234">
        <f t="shared" si="68"/>
        <v>2505.5540000000001</v>
      </c>
      <c r="O138" s="234">
        <f t="shared" si="68"/>
        <v>2703.0390000000002</v>
      </c>
      <c r="P138" s="234">
        <f t="shared" si="68"/>
        <v>2622.3420000000001</v>
      </c>
      <c r="Q138" s="234">
        <f t="shared" si="68"/>
        <v>2756.326</v>
      </c>
      <c r="R138" s="234">
        <f t="shared" si="68"/>
        <v>2691.42</v>
      </c>
    </row>
    <row r="139" spans="3:19" x14ac:dyDescent="0.2">
      <c r="G139" s="233" t="s">
        <v>342</v>
      </c>
      <c r="H139" s="234">
        <f t="shared" ref="H139:R140" si="69">H19</f>
        <v>257.43299999999999</v>
      </c>
      <c r="I139" s="234">
        <f t="shared" si="69"/>
        <v>29.306000000000001</v>
      </c>
      <c r="J139" s="234">
        <f t="shared" si="69"/>
        <v>33.36</v>
      </c>
      <c r="K139" s="234">
        <f t="shared" si="69"/>
        <v>166.1</v>
      </c>
      <c r="L139" s="234">
        <f t="shared" si="69"/>
        <v>36.372999999999998</v>
      </c>
      <c r="M139" s="234">
        <f t="shared" si="69"/>
        <v>33.363999999999997</v>
      </c>
      <c r="N139" s="234">
        <f t="shared" si="69"/>
        <v>33.6</v>
      </c>
      <c r="O139" s="234">
        <f t="shared" si="69"/>
        <v>33.9</v>
      </c>
      <c r="P139" s="234">
        <f t="shared" si="69"/>
        <v>33.988999999999997</v>
      </c>
      <c r="Q139" s="234">
        <f t="shared" si="69"/>
        <v>36.299999999999997</v>
      </c>
      <c r="R139" s="234">
        <f t="shared" si="69"/>
        <v>36.4</v>
      </c>
    </row>
    <row r="140" spans="3:19" x14ac:dyDescent="0.2">
      <c r="G140" s="233" t="s">
        <v>343</v>
      </c>
      <c r="H140" s="234">
        <f t="shared" si="69"/>
        <v>257.43</v>
      </c>
      <c r="I140" s="234">
        <f t="shared" si="69"/>
        <v>29.306000000000001</v>
      </c>
      <c r="J140" s="234">
        <f t="shared" si="69"/>
        <v>33.36</v>
      </c>
      <c r="K140" s="234">
        <f t="shared" si="69"/>
        <v>166.1</v>
      </c>
      <c r="L140" s="234">
        <f t="shared" si="69"/>
        <v>36.372999999999998</v>
      </c>
      <c r="M140" s="234">
        <f t="shared" si="69"/>
        <v>33.363999999999997</v>
      </c>
      <c r="N140" s="234">
        <f t="shared" si="69"/>
        <v>33.6</v>
      </c>
      <c r="O140" s="234">
        <f t="shared" si="69"/>
        <v>33.9</v>
      </c>
      <c r="P140" s="234">
        <f t="shared" si="69"/>
        <v>33.988999999999997</v>
      </c>
      <c r="Q140" s="234">
        <f t="shared" si="69"/>
        <v>36.299999999999997</v>
      </c>
      <c r="R140" s="234">
        <f t="shared" si="69"/>
        <v>36.4</v>
      </c>
    </row>
    <row r="141" spans="3:19" x14ac:dyDescent="0.2">
      <c r="G141" s="233" t="s">
        <v>344</v>
      </c>
      <c r="H141" s="234">
        <f t="shared" ref="H141:R141" si="70">H24</f>
        <v>233.46600000000001</v>
      </c>
      <c r="I141" s="234">
        <f t="shared" si="70"/>
        <v>0</v>
      </c>
      <c r="J141" s="234">
        <f t="shared" si="70"/>
        <v>0</v>
      </c>
      <c r="K141" s="234">
        <f t="shared" si="70"/>
        <v>0</v>
      </c>
      <c r="L141" s="234">
        <f t="shared" si="70"/>
        <v>0</v>
      </c>
      <c r="M141" s="234">
        <f t="shared" si="70"/>
        <v>0</v>
      </c>
      <c r="N141" s="234">
        <f t="shared" si="70"/>
        <v>0</v>
      </c>
      <c r="O141" s="234">
        <f t="shared" si="70"/>
        <v>0</v>
      </c>
      <c r="P141" s="234">
        <f t="shared" si="70"/>
        <v>0</v>
      </c>
      <c r="Q141" s="234">
        <f t="shared" si="70"/>
        <v>0</v>
      </c>
      <c r="R141" s="234">
        <f t="shared" si="70"/>
        <v>0</v>
      </c>
    </row>
    <row r="142" spans="3:19" x14ac:dyDescent="0.2">
      <c r="G142" s="233" t="s">
        <v>345</v>
      </c>
      <c r="H142" s="234">
        <f t="shared" ref="H142:R142" si="71">H27</f>
        <v>2728.7820000000002</v>
      </c>
      <c r="I142" s="234">
        <f t="shared" si="71"/>
        <v>2797.2620000000002</v>
      </c>
      <c r="J142" s="234">
        <f t="shared" si="71"/>
        <v>2676.8809999999999</v>
      </c>
      <c r="K142" s="234">
        <f t="shared" si="71"/>
        <v>2781.105</v>
      </c>
      <c r="L142" s="234">
        <f t="shared" si="71"/>
        <v>2865.1719999999996</v>
      </c>
      <c r="M142" s="234">
        <f t="shared" si="71"/>
        <v>2767.2849999999994</v>
      </c>
      <c r="N142" s="234">
        <f t="shared" si="71"/>
        <v>2619.7349999999997</v>
      </c>
      <c r="O142" s="234">
        <f t="shared" si="71"/>
        <v>2812.3609999999999</v>
      </c>
      <c r="P142" s="234">
        <f t="shared" si="71"/>
        <v>2704.7919999999999</v>
      </c>
      <c r="Q142" s="234">
        <f t="shared" si="71"/>
        <v>2833.7159999999999</v>
      </c>
      <c r="R142" s="234">
        <f t="shared" si="71"/>
        <v>2756.076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869" priority="51" stopIfTrue="1" operator="greaterThan">
      <formula>$E$116</formula>
    </cfRule>
    <cfRule type="cellIs" dxfId="868" priority="52" stopIfTrue="1" operator="lessThanOrEqual">
      <formula>$E$116</formula>
    </cfRule>
  </conditionalFormatting>
  <conditionalFormatting sqref="H118:Q118">
    <cfRule type="cellIs" dxfId="867" priority="49" stopIfTrue="1" operator="lessThanOrEqual">
      <formula>$E$118</formula>
    </cfRule>
    <cfRule type="cellIs" dxfId="866" priority="50" stopIfTrue="1" operator="greaterThan">
      <formula>$E$118</formula>
    </cfRule>
  </conditionalFormatting>
  <conditionalFormatting sqref="H99:Q99">
    <cfRule type="cellIs" dxfId="865" priority="47" operator="greaterThan">
      <formula>$E$99</formula>
    </cfRule>
    <cfRule type="cellIs" dxfId="864" priority="48" operator="lessThanOrEqual">
      <formula>$E$99</formula>
    </cfRule>
  </conditionalFormatting>
  <conditionalFormatting sqref="H102:Q102">
    <cfRule type="cellIs" dxfId="863" priority="45" stopIfTrue="1" operator="greaterThanOrEqual">
      <formula>$E$102</formula>
    </cfRule>
    <cfRule type="cellIs" dxfId="862" priority="46" stopIfTrue="1" operator="lessThan">
      <formula>$E$102</formula>
    </cfRule>
  </conditionalFormatting>
  <conditionalFormatting sqref="H104:Q104">
    <cfRule type="cellIs" dxfId="861" priority="43" stopIfTrue="1" operator="lessThan">
      <formula>$E$104</formula>
    </cfRule>
    <cfRule type="cellIs" dxfId="860" priority="44" stopIfTrue="1" operator="greaterThanOrEqual">
      <formula>$E$104</formula>
    </cfRule>
  </conditionalFormatting>
  <conditionalFormatting sqref="H103:Q103">
    <cfRule type="cellIs" dxfId="859" priority="41" stopIfTrue="1" operator="greaterThan">
      <formula>$E$103</formula>
    </cfRule>
    <cfRule type="cellIs" dxfId="858" priority="42" stopIfTrue="1" operator="lessThanOrEqual">
      <formula>$E$103</formula>
    </cfRule>
  </conditionalFormatting>
  <conditionalFormatting sqref="H100:Q100">
    <cfRule type="cellIs" dxfId="857" priority="30" stopIfTrue="1" operator="between">
      <formula>$D$100</formula>
      <formula>$E$100</formula>
    </cfRule>
    <cfRule type="cellIs" dxfId="856" priority="39" stopIfTrue="1" operator="lessThanOrEqual">
      <formula>$D$100</formula>
    </cfRule>
    <cfRule type="cellIs" dxfId="855" priority="40" stopIfTrue="1" operator="greaterThan">
      <formula>$E$100</formula>
    </cfRule>
  </conditionalFormatting>
  <conditionalFormatting sqref="H117:Q117">
    <cfRule type="cellIs" dxfId="854" priority="37" stopIfTrue="1" operator="greaterThan">
      <formula>$E$117</formula>
    </cfRule>
    <cfRule type="cellIs" dxfId="853" priority="38" stopIfTrue="1" operator="lessThanOrEqual">
      <formula>$E$117</formula>
    </cfRule>
  </conditionalFormatting>
  <conditionalFormatting sqref="H107:Q107">
    <cfRule type="cellIs" dxfId="852" priority="35" stopIfTrue="1" operator="greaterThan">
      <formula>$E$107</formula>
    </cfRule>
    <cfRule type="cellIs" dxfId="851" priority="36" stopIfTrue="1" operator="lessThanOrEqual">
      <formula>$E$107</formula>
    </cfRule>
  </conditionalFormatting>
  <conditionalFormatting sqref="H108:Q108">
    <cfRule type="cellIs" dxfId="850" priority="33" stopIfTrue="1" operator="lessThan">
      <formula>$E$108</formula>
    </cfRule>
    <cfRule type="cellIs" dxfId="849" priority="34" stopIfTrue="1" operator="greaterThanOrEqual">
      <formula>$E$108</formula>
    </cfRule>
  </conditionalFormatting>
  <conditionalFormatting sqref="H93:Q93">
    <cfRule type="cellIs" dxfId="848" priority="53" stopIfTrue="1" operator="lessThan">
      <formula>$D$93</formula>
    </cfRule>
    <cfRule type="cellIs" dxfId="847" priority="54" stopIfTrue="1" operator="between">
      <formula>$D$93</formula>
      <formula>$E$93</formula>
    </cfRule>
    <cfRule type="cellIs" dxfId="846" priority="55" stopIfTrue="1" operator="greaterThan">
      <formula>$E$93</formula>
    </cfRule>
  </conditionalFormatting>
  <conditionalFormatting sqref="H114:Q114">
    <cfRule type="cellIs" dxfId="845" priority="56" stopIfTrue="1" operator="lessThan">
      <formula>$E$114</formula>
    </cfRule>
    <cfRule type="cellIs" dxfId="844" priority="57" stopIfTrue="1" operator="between">
      <formula>$D$114</formula>
      <formula>$E$114</formula>
    </cfRule>
    <cfRule type="cellIs" dxfId="843" priority="58" stopIfTrue="1" operator="greaterThanOrEqual">
      <formula>$D$114</formula>
    </cfRule>
  </conditionalFormatting>
  <conditionalFormatting sqref="H90:Q90">
    <cfRule type="cellIs" dxfId="842" priority="31" stopIfTrue="1" operator="lessThan">
      <formula>$E$90</formula>
    </cfRule>
    <cfRule type="cellIs" dxfId="841" priority="32" stopIfTrue="1" operator="greaterThan">
      <formula>$E$90</formula>
    </cfRule>
  </conditionalFormatting>
  <conditionalFormatting sqref="R116">
    <cfRule type="cellIs" dxfId="840" priority="22" stopIfTrue="1" operator="greaterThan">
      <formula>$E$116</formula>
    </cfRule>
    <cfRule type="cellIs" dxfId="839" priority="23" stopIfTrue="1" operator="lessThanOrEqual">
      <formula>$E$116</formula>
    </cfRule>
  </conditionalFormatting>
  <conditionalFormatting sqref="R118">
    <cfRule type="cellIs" dxfId="838" priority="20" stopIfTrue="1" operator="lessThanOrEqual">
      <formula>$E$118</formula>
    </cfRule>
    <cfRule type="cellIs" dxfId="837" priority="21" stopIfTrue="1" operator="greaterThan">
      <formula>$E$118</formula>
    </cfRule>
  </conditionalFormatting>
  <conditionalFormatting sqref="R99">
    <cfRule type="cellIs" dxfId="836" priority="18" operator="greaterThan">
      <formula>$E$99</formula>
    </cfRule>
    <cfRule type="cellIs" dxfId="835" priority="19" operator="lessThanOrEqual">
      <formula>$E$99</formula>
    </cfRule>
  </conditionalFormatting>
  <conditionalFormatting sqref="R102">
    <cfRule type="cellIs" dxfId="834" priority="16" stopIfTrue="1" operator="greaterThanOrEqual">
      <formula>$E$102</formula>
    </cfRule>
    <cfRule type="cellIs" dxfId="833" priority="17" stopIfTrue="1" operator="lessThan">
      <formula>$E$102</formula>
    </cfRule>
  </conditionalFormatting>
  <conditionalFormatting sqref="R104">
    <cfRule type="cellIs" dxfId="832" priority="14" stopIfTrue="1" operator="lessThan">
      <formula>$E$104</formula>
    </cfRule>
    <cfRule type="cellIs" dxfId="831" priority="15" stopIfTrue="1" operator="greaterThanOrEqual">
      <formula>$E$104</formula>
    </cfRule>
  </conditionalFormatting>
  <conditionalFormatting sqref="R103">
    <cfRule type="cellIs" dxfId="830" priority="12" stopIfTrue="1" operator="greaterThan">
      <formula>$E$103</formula>
    </cfRule>
    <cfRule type="cellIs" dxfId="829" priority="13" stopIfTrue="1" operator="lessThanOrEqual">
      <formula>$E$103</formula>
    </cfRule>
  </conditionalFormatting>
  <conditionalFormatting sqref="R100">
    <cfRule type="cellIs" dxfId="828" priority="1" stopIfTrue="1" operator="between">
      <formula>$D$100</formula>
      <formula>$E$100</formula>
    </cfRule>
    <cfRule type="cellIs" dxfId="827" priority="10" stopIfTrue="1" operator="lessThanOrEqual">
      <formula>$D$100</formula>
    </cfRule>
    <cfRule type="cellIs" dxfId="826" priority="11" stopIfTrue="1" operator="greaterThan">
      <formula>$E$100</formula>
    </cfRule>
  </conditionalFormatting>
  <conditionalFormatting sqref="R117">
    <cfRule type="cellIs" dxfId="825" priority="8" stopIfTrue="1" operator="greaterThan">
      <formula>$E$117</formula>
    </cfRule>
    <cfRule type="cellIs" dxfId="824" priority="9" stopIfTrue="1" operator="lessThanOrEqual">
      <formula>$E$117</formula>
    </cfRule>
  </conditionalFormatting>
  <conditionalFormatting sqref="R107">
    <cfRule type="cellIs" dxfId="823" priority="6" stopIfTrue="1" operator="greaterThan">
      <formula>$E$107</formula>
    </cfRule>
    <cfRule type="cellIs" dxfId="822" priority="7" stopIfTrue="1" operator="lessThanOrEqual">
      <formula>$E$107</formula>
    </cfRule>
  </conditionalFormatting>
  <conditionalFormatting sqref="R108">
    <cfRule type="cellIs" dxfId="821" priority="4" stopIfTrue="1" operator="lessThan">
      <formula>$E$108</formula>
    </cfRule>
    <cfRule type="cellIs" dxfId="820" priority="5" stopIfTrue="1" operator="greaterThanOrEqual">
      <formula>$E$108</formula>
    </cfRule>
  </conditionalFormatting>
  <conditionalFormatting sqref="R93">
    <cfRule type="cellIs" dxfId="819" priority="24" stopIfTrue="1" operator="lessThan">
      <formula>$D$93</formula>
    </cfRule>
    <cfRule type="cellIs" dxfId="818" priority="25" stopIfTrue="1" operator="between">
      <formula>$D$93</formula>
      <formula>$E$93</formula>
    </cfRule>
    <cfRule type="cellIs" dxfId="817" priority="26" stopIfTrue="1" operator="greaterThan">
      <formula>$E$93</formula>
    </cfRule>
  </conditionalFormatting>
  <conditionalFormatting sqref="R114">
    <cfRule type="cellIs" dxfId="816" priority="27" stopIfTrue="1" operator="lessThan">
      <formula>$E$114</formula>
    </cfRule>
    <cfRule type="cellIs" dxfId="815" priority="28" stopIfTrue="1" operator="between">
      <formula>$D$114</formula>
      <formula>$E$114</formula>
    </cfRule>
    <cfRule type="cellIs" dxfId="814" priority="29" stopIfTrue="1" operator="greaterThanOrEqual">
      <formula>$D$114</formula>
    </cfRule>
  </conditionalFormatting>
  <conditionalFormatting sqref="R90">
    <cfRule type="cellIs" dxfId="813" priority="2" stopIfTrue="1" operator="lessThan">
      <formula>$E$90</formula>
    </cfRule>
    <cfRule type="cellIs" dxfId="812" priority="3" stopIfTrue="1" operator="greaterThan">
      <formula>$E$90</formula>
    </cfRule>
  </conditionalFormatting>
  <pageMargins left="0.23622047244094491" right="0.23622047244094491" top="0.55118110236220474" bottom="0.55118110236220474" header="0.31496062992125984" footer="0.31496062992125984"/>
  <pageSetup paperSize="9" scale="83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18.5703125" style="48" customWidth="1"/>
    <col min="8" max="8" width="9.28515625" style="4" customWidth="1"/>
    <col min="9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18.5703125" style="4" customWidth="1"/>
    <col min="264" max="264" width="9.28515625" style="4" customWidth="1"/>
    <col min="265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18.5703125" style="4" customWidth="1"/>
    <col min="520" max="520" width="9.28515625" style="4" customWidth="1"/>
    <col min="521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18.5703125" style="4" customWidth="1"/>
    <col min="776" max="776" width="9.28515625" style="4" customWidth="1"/>
    <col min="777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18.5703125" style="4" customWidth="1"/>
    <col min="1032" max="1032" width="9.28515625" style="4" customWidth="1"/>
    <col min="1033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18.5703125" style="4" customWidth="1"/>
    <col min="1288" max="1288" width="9.28515625" style="4" customWidth="1"/>
    <col min="1289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18.5703125" style="4" customWidth="1"/>
    <col min="1544" max="1544" width="9.28515625" style="4" customWidth="1"/>
    <col min="1545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18.5703125" style="4" customWidth="1"/>
    <col min="1800" max="1800" width="9.28515625" style="4" customWidth="1"/>
    <col min="1801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18.5703125" style="4" customWidth="1"/>
    <col min="2056" max="2056" width="9.28515625" style="4" customWidth="1"/>
    <col min="2057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18.5703125" style="4" customWidth="1"/>
    <col min="2312" max="2312" width="9.28515625" style="4" customWidth="1"/>
    <col min="2313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18.5703125" style="4" customWidth="1"/>
    <col min="2568" max="2568" width="9.28515625" style="4" customWidth="1"/>
    <col min="2569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18.5703125" style="4" customWidth="1"/>
    <col min="2824" max="2824" width="9.28515625" style="4" customWidth="1"/>
    <col min="2825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18.5703125" style="4" customWidth="1"/>
    <col min="3080" max="3080" width="9.28515625" style="4" customWidth="1"/>
    <col min="3081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18.5703125" style="4" customWidth="1"/>
    <col min="3336" max="3336" width="9.28515625" style="4" customWidth="1"/>
    <col min="3337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18.5703125" style="4" customWidth="1"/>
    <col min="3592" max="3592" width="9.28515625" style="4" customWidth="1"/>
    <col min="3593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18.5703125" style="4" customWidth="1"/>
    <col min="3848" max="3848" width="9.28515625" style="4" customWidth="1"/>
    <col min="3849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18.5703125" style="4" customWidth="1"/>
    <col min="4104" max="4104" width="9.28515625" style="4" customWidth="1"/>
    <col min="4105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18.5703125" style="4" customWidth="1"/>
    <col min="4360" max="4360" width="9.28515625" style="4" customWidth="1"/>
    <col min="4361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18.5703125" style="4" customWidth="1"/>
    <col min="4616" max="4616" width="9.28515625" style="4" customWidth="1"/>
    <col min="4617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18.5703125" style="4" customWidth="1"/>
    <col min="4872" max="4872" width="9.28515625" style="4" customWidth="1"/>
    <col min="4873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18.5703125" style="4" customWidth="1"/>
    <col min="5128" max="5128" width="9.28515625" style="4" customWidth="1"/>
    <col min="5129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18.5703125" style="4" customWidth="1"/>
    <col min="5384" max="5384" width="9.28515625" style="4" customWidth="1"/>
    <col min="5385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18.5703125" style="4" customWidth="1"/>
    <col min="5640" max="5640" width="9.28515625" style="4" customWidth="1"/>
    <col min="5641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18.5703125" style="4" customWidth="1"/>
    <col min="5896" max="5896" width="9.28515625" style="4" customWidth="1"/>
    <col min="5897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18.5703125" style="4" customWidth="1"/>
    <col min="6152" max="6152" width="9.28515625" style="4" customWidth="1"/>
    <col min="6153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18.5703125" style="4" customWidth="1"/>
    <col min="6408" max="6408" width="9.28515625" style="4" customWidth="1"/>
    <col min="6409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18.5703125" style="4" customWidth="1"/>
    <col min="6664" max="6664" width="9.28515625" style="4" customWidth="1"/>
    <col min="6665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18.5703125" style="4" customWidth="1"/>
    <col min="6920" max="6920" width="9.28515625" style="4" customWidth="1"/>
    <col min="6921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18.5703125" style="4" customWidth="1"/>
    <col min="7176" max="7176" width="9.28515625" style="4" customWidth="1"/>
    <col min="7177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18.5703125" style="4" customWidth="1"/>
    <col min="7432" max="7432" width="9.28515625" style="4" customWidth="1"/>
    <col min="7433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18.5703125" style="4" customWidth="1"/>
    <col min="7688" max="7688" width="9.28515625" style="4" customWidth="1"/>
    <col min="7689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18.5703125" style="4" customWidth="1"/>
    <col min="7944" max="7944" width="9.28515625" style="4" customWidth="1"/>
    <col min="7945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18.5703125" style="4" customWidth="1"/>
    <col min="8200" max="8200" width="9.28515625" style="4" customWidth="1"/>
    <col min="8201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18.5703125" style="4" customWidth="1"/>
    <col min="8456" max="8456" width="9.28515625" style="4" customWidth="1"/>
    <col min="8457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18.5703125" style="4" customWidth="1"/>
    <col min="8712" max="8712" width="9.28515625" style="4" customWidth="1"/>
    <col min="8713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18.5703125" style="4" customWidth="1"/>
    <col min="8968" max="8968" width="9.28515625" style="4" customWidth="1"/>
    <col min="8969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18.5703125" style="4" customWidth="1"/>
    <col min="9224" max="9224" width="9.28515625" style="4" customWidth="1"/>
    <col min="9225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18.5703125" style="4" customWidth="1"/>
    <col min="9480" max="9480" width="9.28515625" style="4" customWidth="1"/>
    <col min="9481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18.5703125" style="4" customWidth="1"/>
    <col min="9736" max="9736" width="9.28515625" style="4" customWidth="1"/>
    <col min="9737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18.5703125" style="4" customWidth="1"/>
    <col min="9992" max="9992" width="9.28515625" style="4" customWidth="1"/>
    <col min="9993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18.5703125" style="4" customWidth="1"/>
    <col min="10248" max="10248" width="9.28515625" style="4" customWidth="1"/>
    <col min="10249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18.5703125" style="4" customWidth="1"/>
    <col min="10504" max="10504" width="9.28515625" style="4" customWidth="1"/>
    <col min="10505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18.5703125" style="4" customWidth="1"/>
    <col min="10760" max="10760" width="9.28515625" style="4" customWidth="1"/>
    <col min="10761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18.5703125" style="4" customWidth="1"/>
    <col min="11016" max="11016" width="9.28515625" style="4" customWidth="1"/>
    <col min="11017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18.5703125" style="4" customWidth="1"/>
    <col min="11272" max="11272" width="9.28515625" style="4" customWidth="1"/>
    <col min="11273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18.5703125" style="4" customWidth="1"/>
    <col min="11528" max="11528" width="9.28515625" style="4" customWidth="1"/>
    <col min="11529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18.5703125" style="4" customWidth="1"/>
    <col min="11784" max="11784" width="9.28515625" style="4" customWidth="1"/>
    <col min="11785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18.5703125" style="4" customWidth="1"/>
    <col min="12040" max="12040" width="9.28515625" style="4" customWidth="1"/>
    <col min="12041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18.5703125" style="4" customWidth="1"/>
    <col min="12296" max="12296" width="9.28515625" style="4" customWidth="1"/>
    <col min="12297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18.5703125" style="4" customWidth="1"/>
    <col min="12552" max="12552" width="9.28515625" style="4" customWidth="1"/>
    <col min="12553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18.5703125" style="4" customWidth="1"/>
    <col min="12808" max="12808" width="9.28515625" style="4" customWidth="1"/>
    <col min="12809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18.5703125" style="4" customWidth="1"/>
    <col min="13064" max="13064" width="9.28515625" style="4" customWidth="1"/>
    <col min="13065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18.5703125" style="4" customWidth="1"/>
    <col min="13320" max="13320" width="9.28515625" style="4" customWidth="1"/>
    <col min="13321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18.5703125" style="4" customWidth="1"/>
    <col min="13576" max="13576" width="9.28515625" style="4" customWidth="1"/>
    <col min="13577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18.5703125" style="4" customWidth="1"/>
    <col min="13832" max="13832" width="9.28515625" style="4" customWidth="1"/>
    <col min="13833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18.5703125" style="4" customWidth="1"/>
    <col min="14088" max="14088" width="9.28515625" style="4" customWidth="1"/>
    <col min="14089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18.5703125" style="4" customWidth="1"/>
    <col min="14344" max="14344" width="9.28515625" style="4" customWidth="1"/>
    <col min="14345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18.5703125" style="4" customWidth="1"/>
    <col min="14600" max="14600" width="9.28515625" style="4" customWidth="1"/>
    <col min="14601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18.5703125" style="4" customWidth="1"/>
    <col min="14856" max="14856" width="9.28515625" style="4" customWidth="1"/>
    <col min="14857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18.5703125" style="4" customWidth="1"/>
    <col min="15112" max="15112" width="9.28515625" style="4" customWidth="1"/>
    <col min="15113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18.5703125" style="4" customWidth="1"/>
    <col min="15368" max="15368" width="9.28515625" style="4" customWidth="1"/>
    <col min="15369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18.5703125" style="4" customWidth="1"/>
    <col min="15624" max="15624" width="9.28515625" style="4" customWidth="1"/>
    <col min="15625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18.5703125" style="4" customWidth="1"/>
    <col min="15880" max="15880" width="9.28515625" style="4" customWidth="1"/>
    <col min="15881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18.5703125" style="4" customWidth="1"/>
    <col min="16136" max="16136" width="9.28515625" style="4" customWidth="1"/>
    <col min="16137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170" t="s">
        <v>431</v>
      </c>
      <c r="H2" s="171" t="s">
        <v>432</v>
      </c>
      <c r="I2" s="172"/>
      <c r="J2" s="173"/>
      <c r="K2" s="1267" t="s">
        <v>6</v>
      </c>
      <c r="L2" s="1268"/>
      <c r="M2" s="1269" t="s">
        <v>433</v>
      </c>
      <c r="N2" s="1270"/>
      <c r="O2" s="1270"/>
      <c r="P2" s="1270"/>
      <c r="Q2" s="1270"/>
      <c r="R2" s="1271"/>
    </row>
    <row r="3" spans="1:18" x14ac:dyDescent="0.2">
      <c r="A3" s="1"/>
      <c r="B3" s="10"/>
      <c r="C3" s="3"/>
      <c r="D3" s="3"/>
      <c r="E3" s="1"/>
      <c r="F3" s="1"/>
      <c r="G3" s="174" t="s">
        <v>7</v>
      </c>
      <c r="H3" s="175">
        <v>40908</v>
      </c>
      <c r="I3" s="175">
        <v>41274</v>
      </c>
      <c r="J3" s="175">
        <v>41639</v>
      </c>
      <c r="K3" s="175">
        <v>42004</v>
      </c>
      <c r="L3" s="175">
        <v>42369</v>
      </c>
      <c r="M3" s="175">
        <v>42735</v>
      </c>
      <c r="N3" s="175">
        <v>43100</v>
      </c>
      <c r="O3" s="175">
        <v>43465</v>
      </c>
      <c r="P3" s="175">
        <v>43830</v>
      </c>
      <c r="Q3" s="175">
        <v>44196</v>
      </c>
      <c r="R3" s="175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176" t="s">
        <v>9</v>
      </c>
      <c r="H4" s="177">
        <f t="shared" ref="H4:R4" si="0">H5+H10</f>
        <v>604.31200000000001</v>
      </c>
      <c r="I4" s="177">
        <f t="shared" si="0"/>
        <v>605.31600000000003</v>
      </c>
      <c r="J4" s="177">
        <f t="shared" si="0"/>
        <v>663.83899999999994</v>
      </c>
      <c r="K4" s="177">
        <f t="shared" si="0"/>
        <v>660.322</v>
      </c>
      <c r="L4" s="177">
        <f t="shared" si="0"/>
        <v>679.44299999999998</v>
      </c>
      <c r="M4" s="177">
        <f t="shared" si="0"/>
        <v>650.33400000000006</v>
      </c>
      <c r="N4" s="177">
        <f t="shared" si="0"/>
        <v>645.87</v>
      </c>
      <c r="O4" s="177">
        <f t="shared" si="0"/>
        <v>639.56899999999996</v>
      </c>
      <c r="P4" s="177">
        <f t="shared" si="0"/>
        <v>630.26900000000001</v>
      </c>
      <c r="Q4" s="177">
        <f t="shared" si="0"/>
        <v>636.96800000000007</v>
      </c>
      <c r="R4" s="177">
        <f t="shared" si="0"/>
        <v>632.66700000000003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177">
        <f t="shared" ref="H5:Q5" si="1">SUM(H6:H9)</f>
        <v>235.08100000000002</v>
      </c>
      <c r="I5" s="177">
        <f t="shared" si="1"/>
        <v>244.59899999999999</v>
      </c>
      <c r="J5" s="177">
        <f t="shared" si="1"/>
        <v>274.51</v>
      </c>
      <c r="K5" s="177">
        <f t="shared" si="1"/>
        <v>256.07299999999998</v>
      </c>
      <c r="L5" s="177">
        <f t="shared" si="1"/>
        <v>274.971</v>
      </c>
      <c r="M5" s="177">
        <f t="shared" si="1"/>
        <v>256.16300000000001</v>
      </c>
      <c r="N5" s="177">
        <f t="shared" si="1"/>
        <v>262</v>
      </c>
      <c r="O5" s="177">
        <f t="shared" si="1"/>
        <v>266</v>
      </c>
      <c r="P5" s="177">
        <f t="shared" si="1"/>
        <v>267</v>
      </c>
      <c r="Q5" s="177">
        <f t="shared" si="1"/>
        <v>284</v>
      </c>
      <c r="R5" s="177">
        <f>SUM(R6:R9)</f>
        <v>290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178">
        <v>139.83000000000001</v>
      </c>
      <c r="I6" s="178">
        <v>152.179</v>
      </c>
      <c r="J6" s="178">
        <v>162.88200000000001</v>
      </c>
      <c r="K6" s="178">
        <v>151.06800000000001</v>
      </c>
      <c r="L6" s="178">
        <v>167.58600000000001</v>
      </c>
      <c r="M6" s="178">
        <v>160.77600000000001</v>
      </c>
      <c r="N6" s="178">
        <v>165</v>
      </c>
      <c r="O6" s="178">
        <v>168</v>
      </c>
      <c r="P6" s="178">
        <v>165</v>
      </c>
      <c r="Q6" s="178">
        <v>167</v>
      </c>
      <c r="R6" s="178">
        <v>171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178">
        <v>95.251000000000005</v>
      </c>
      <c r="I7" s="178">
        <v>92.42</v>
      </c>
      <c r="J7" s="178">
        <v>111.628</v>
      </c>
      <c r="K7" s="178">
        <v>105.005</v>
      </c>
      <c r="L7" s="178">
        <v>107.38500000000001</v>
      </c>
      <c r="M7" s="178">
        <v>95.387</v>
      </c>
      <c r="N7" s="178">
        <v>97</v>
      </c>
      <c r="O7" s="178">
        <v>98</v>
      </c>
      <c r="P7" s="178">
        <v>102</v>
      </c>
      <c r="Q7" s="178">
        <v>117</v>
      </c>
      <c r="R7" s="178">
        <v>119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8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177">
        <f>SUM(H11:H16)</f>
        <v>369.23099999999999</v>
      </c>
      <c r="I10" s="177">
        <f t="shared" ref="I10:R10" si="2">SUM(I11:I16)</f>
        <v>360.71699999999998</v>
      </c>
      <c r="J10" s="177">
        <f t="shared" si="2"/>
        <v>389.32900000000001</v>
      </c>
      <c r="K10" s="177">
        <f t="shared" si="2"/>
        <v>404.24900000000002</v>
      </c>
      <c r="L10" s="177">
        <f t="shared" si="2"/>
        <v>404.47199999999998</v>
      </c>
      <c r="M10" s="177">
        <f t="shared" si="2"/>
        <v>394.17099999999999</v>
      </c>
      <c r="N10" s="177">
        <f t="shared" si="2"/>
        <v>383.87</v>
      </c>
      <c r="O10" s="177">
        <f t="shared" si="2"/>
        <v>373.56899999999996</v>
      </c>
      <c r="P10" s="177">
        <f t="shared" si="2"/>
        <v>363.26900000000001</v>
      </c>
      <c r="Q10" s="177">
        <f t="shared" si="2"/>
        <v>352.96800000000002</v>
      </c>
      <c r="R10" s="177">
        <f t="shared" si="2"/>
        <v>342.66700000000003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178">
        <v>14.164</v>
      </c>
      <c r="I13" s="178">
        <v>13.907</v>
      </c>
      <c r="J13" s="178">
        <v>13.388999999999999</v>
      </c>
      <c r="K13" s="178">
        <v>13.132</v>
      </c>
      <c r="L13" s="178">
        <v>12.875</v>
      </c>
      <c r="M13" s="178">
        <v>12.618</v>
      </c>
      <c r="N13" s="178">
        <v>12.361000000000001</v>
      </c>
      <c r="O13" s="178">
        <v>12.103999999999999</v>
      </c>
      <c r="P13" s="178">
        <v>11.848000000000001</v>
      </c>
      <c r="Q13" s="178">
        <v>11.590999999999999</v>
      </c>
      <c r="R13" s="178">
        <v>11.334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178">
        <v>355.06700000000001</v>
      </c>
      <c r="I15" s="178">
        <v>346.81</v>
      </c>
      <c r="J15" s="178">
        <v>375.94</v>
      </c>
      <c r="K15" s="178">
        <v>391.11700000000002</v>
      </c>
      <c r="L15" s="178">
        <v>391.59699999999998</v>
      </c>
      <c r="M15" s="178">
        <v>381.553</v>
      </c>
      <c r="N15" s="178">
        <v>371.50900000000001</v>
      </c>
      <c r="O15" s="178">
        <v>361.46499999999997</v>
      </c>
      <c r="P15" s="178">
        <v>351.42099999999999</v>
      </c>
      <c r="Q15" s="178">
        <v>341.37700000000001</v>
      </c>
      <c r="R15" s="178">
        <v>331.33300000000003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177">
        <f>H19+H27</f>
        <v>604.3130000000001</v>
      </c>
      <c r="I18" s="177">
        <f t="shared" ref="I18:R18" si="3">I19+I27</f>
        <v>605.31600000000003</v>
      </c>
      <c r="J18" s="177">
        <f t="shared" si="3"/>
        <v>663.83900000000006</v>
      </c>
      <c r="K18" s="177">
        <f t="shared" si="3"/>
        <v>660.32299999999998</v>
      </c>
      <c r="L18" s="177">
        <f t="shared" si="3"/>
        <v>679.44399999999996</v>
      </c>
      <c r="M18" s="177">
        <f t="shared" si="3"/>
        <v>650.33400000000006</v>
      </c>
      <c r="N18" s="177">
        <f t="shared" si="3"/>
        <v>646.226</v>
      </c>
      <c r="O18" s="177">
        <f t="shared" si="3"/>
        <v>639.226</v>
      </c>
      <c r="P18" s="177">
        <f t="shared" si="3"/>
        <v>630.226</v>
      </c>
      <c r="Q18" s="177">
        <f t="shared" si="3"/>
        <v>637.226</v>
      </c>
      <c r="R18" s="177">
        <f t="shared" si="3"/>
        <v>632.226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177">
        <f>SUM(H21:H26)</f>
        <v>273.01100000000002</v>
      </c>
      <c r="I19" s="177">
        <f t="shared" ref="I19:R19" si="4">SUM(I21:I26)</f>
        <v>272.60500000000002</v>
      </c>
      <c r="J19" s="177">
        <f t="shared" si="4"/>
        <v>326.72500000000002</v>
      </c>
      <c r="K19" s="177">
        <f t="shared" si="4"/>
        <v>318.80399999999997</v>
      </c>
      <c r="L19" s="177">
        <f t="shared" si="4"/>
        <v>333.26600000000002</v>
      </c>
      <c r="M19" s="177">
        <f t="shared" si="4"/>
        <v>300.108</v>
      </c>
      <c r="N19" s="177">
        <f t="shared" si="4"/>
        <v>296</v>
      </c>
      <c r="O19" s="177">
        <f t="shared" si="4"/>
        <v>289</v>
      </c>
      <c r="P19" s="177">
        <f t="shared" si="4"/>
        <v>280</v>
      </c>
      <c r="Q19" s="177">
        <f t="shared" si="4"/>
        <v>287</v>
      </c>
      <c r="R19" s="177">
        <f t="shared" si="4"/>
        <v>282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180">
        <v>273.01100000000002</v>
      </c>
      <c r="I20" s="180">
        <v>272.60500000000002</v>
      </c>
      <c r="J20" s="180">
        <v>326.72500000000002</v>
      </c>
      <c r="K20" s="180">
        <v>318.80399999999997</v>
      </c>
      <c r="L20" s="180">
        <v>333.26600000000002</v>
      </c>
      <c r="M20" s="180">
        <v>300.108</v>
      </c>
      <c r="N20" s="180">
        <v>296</v>
      </c>
      <c r="O20" s="180">
        <v>289</v>
      </c>
      <c r="P20" s="180">
        <v>280</v>
      </c>
      <c r="Q20" s="180">
        <v>287</v>
      </c>
      <c r="R20" s="180">
        <v>282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178">
        <v>273.01100000000002</v>
      </c>
      <c r="I21" s="178">
        <v>272.60500000000002</v>
      </c>
      <c r="J21" s="178">
        <v>326.72500000000002</v>
      </c>
      <c r="K21" s="178">
        <v>318.80399999999997</v>
      </c>
      <c r="L21" s="178">
        <v>333.26600000000002</v>
      </c>
      <c r="M21" s="178">
        <v>298.108</v>
      </c>
      <c r="N21" s="178">
        <v>296</v>
      </c>
      <c r="O21" s="178">
        <v>289</v>
      </c>
      <c r="P21" s="178">
        <v>280</v>
      </c>
      <c r="Q21" s="178">
        <v>287</v>
      </c>
      <c r="R21" s="178">
        <v>282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2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177">
        <f>SUM(H28:H30)</f>
        <v>331.30200000000002</v>
      </c>
      <c r="I27" s="177">
        <f t="shared" ref="I27:R27" si="5">SUM(I28:I30)</f>
        <v>332.71100000000001</v>
      </c>
      <c r="J27" s="177">
        <f t="shared" si="5"/>
        <v>337.11400000000003</v>
      </c>
      <c r="K27" s="177">
        <f t="shared" si="5"/>
        <v>341.51900000000001</v>
      </c>
      <c r="L27" s="177">
        <f t="shared" si="5"/>
        <v>346.178</v>
      </c>
      <c r="M27" s="177">
        <f t="shared" si="5"/>
        <v>350.226</v>
      </c>
      <c r="N27" s="177">
        <f t="shared" si="5"/>
        <v>350.226</v>
      </c>
      <c r="O27" s="177">
        <f t="shared" si="5"/>
        <v>350.226</v>
      </c>
      <c r="P27" s="177">
        <f t="shared" si="5"/>
        <v>350.226</v>
      </c>
      <c r="Q27" s="177">
        <f t="shared" si="5"/>
        <v>350.226</v>
      </c>
      <c r="R27" s="177">
        <f t="shared" si="5"/>
        <v>350.226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178">
        <v>550.827</v>
      </c>
      <c r="I28" s="178">
        <v>550.827</v>
      </c>
      <c r="J28" s="178">
        <v>550.827</v>
      </c>
      <c r="K28" s="178">
        <v>550.827</v>
      </c>
      <c r="L28" s="178">
        <v>550.827</v>
      </c>
      <c r="M28" s="178">
        <v>550.827</v>
      </c>
      <c r="N28" s="178">
        <v>550.827</v>
      </c>
      <c r="O28" s="178">
        <v>550.827</v>
      </c>
      <c r="P28" s="178">
        <v>550.827</v>
      </c>
      <c r="Q28" s="178">
        <v>550.827</v>
      </c>
      <c r="R28" s="178">
        <v>550.827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178">
        <v>-225.005</v>
      </c>
      <c r="I29" s="178">
        <v>-219.52500000000001</v>
      </c>
      <c r="J29" s="178">
        <v>-218.11600000000001</v>
      </c>
      <c r="K29" s="178">
        <v>-213.71299999999999</v>
      </c>
      <c r="L29" s="178">
        <v>-209.30799999999999</v>
      </c>
      <c r="M29" s="178">
        <v>-204.649</v>
      </c>
      <c r="N29" s="178">
        <v>-200.601</v>
      </c>
      <c r="O29" s="178">
        <v>-200.601</v>
      </c>
      <c r="P29" s="178">
        <v>-200.601</v>
      </c>
      <c r="Q29" s="178">
        <v>-200.601</v>
      </c>
      <c r="R29" s="178">
        <v>-200.601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178">
        <v>5.48</v>
      </c>
      <c r="I30" s="178">
        <v>1.409</v>
      </c>
      <c r="J30" s="178">
        <v>4.4029999999999996</v>
      </c>
      <c r="K30" s="178">
        <v>4.4050000000000002</v>
      </c>
      <c r="L30" s="178">
        <v>4.6589999999999998</v>
      </c>
      <c r="M30" s="178">
        <v>4.048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182">
        <f t="shared" ref="H31:R31" si="6">H4-H18</f>
        <v>-1.00000000009004E-3</v>
      </c>
      <c r="I31" s="182">
        <f t="shared" si="6"/>
        <v>0</v>
      </c>
      <c r="J31" s="182">
        <f t="shared" si="6"/>
        <v>0</v>
      </c>
      <c r="K31" s="182">
        <f t="shared" si="6"/>
        <v>-9.9999999997635314E-4</v>
      </c>
      <c r="L31" s="182">
        <f t="shared" si="6"/>
        <v>-9.9999999997635314E-4</v>
      </c>
      <c r="M31" s="182">
        <f t="shared" si="6"/>
        <v>0</v>
      </c>
      <c r="N31" s="182">
        <f t="shared" si="6"/>
        <v>-0.35599999999999454</v>
      </c>
      <c r="O31" s="182">
        <f t="shared" si="6"/>
        <v>0.34299999999996089</v>
      </c>
      <c r="P31" s="182">
        <f t="shared" si="6"/>
        <v>4.3000000000006366E-2</v>
      </c>
      <c r="Q31" s="182">
        <f t="shared" si="6"/>
        <v>-0.25799999999992451</v>
      </c>
      <c r="R31" s="182">
        <f t="shared" si="6"/>
        <v>0.44100000000003092</v>
      </c>
      <c r="S31" s="4"/>
    </row>
    <row r="32" spans="1:19" x14ac:dyDescent="0.2">
      <c r="G32" s="174" t="s">
        <v>78</v>
      </c>
      <c r="H32" s="183">
        <v>2011</v>
      </c>
      <c r="I32" s="183">
        <f t="shared" ref="I32:R32" si="7">H32+1</f>
        <v>2012</v>
      </c>
      <c r="J32" s="183">
        <f t="shared" si="7"/>
        <v>2013</v>
      </c>
      <c r="K32" s="183">
        <f t="shared" si="7"/>
        <v>2014</v>
      </c>
      <c r="L32" s="183">
        <f t="shared" si="7"/>
        <v>2015</v>
      </c>
      <c r="M32" s="183">
        <f t="shared" si="7"/>
        <v>2016</v>
      </c>
      <c r="N32" s="183">
        <f t="shared" si="7"/>
        <v>2017</v>
      </c>
      <c r="O32" s="183">
        <f t="shared" si="7"/>
        <v>2018</v>
      </c>
      <c r="P32" s="183">
        <f t="shared" si="7"/>
        <v>2019</v>
      </c>
      <c r="Q32" s="183">
        <f t="shared" si="7"/>
        <v>2020</v>
      </c>
      <c r="R32" s="183">
        <f t="shared" si="7"/>
        <v>2021</v>
      </c>
    </row>
    <row r="33" spans="1:18" x14ac:dyDescent="0.2">
      <c r="B33" s="2" t="s">
        <v>79</v>
      </c>
      <c r="C33" s="19">
        <v>3</v>
      </c>
      <c r="G33" s="176" t="s">
        <v>80</v>
      </c>
      <c r="H33" s="177">
        <f>SUM(H34:H37)</f>
        <v>2011.116</v>
      </c>
      <c r="I33" s="177">
        <f t="shared" ref="I33:R33" si="8">SUM(I34:I37)</f>
        <v>1986.576</v>
      </c>
      <c r="J33" s="177">
        <f t="shared" si="8"/>
        <v>2121.0860000000002</v>
      </c>
      <c r="K33" s="177">
        <f t="shared" si="8"/>
        <v>2492.4520000000002</v>
      </c>
      <c r="L33" s="177">
        <f t="shared" si="8"/>
        <v>2540.2359999999999</v>
      </c>
      <c r="M33" s="177">
        <f t="shared" si="8"/>
        <v>2602.8319999999999</v>
      </c>
      <c r="N33" s="177">
        <f t="shared" si="8"/>
        <v>2662</v>
      </c>
      <c r="O33" s="177">
        <f t="shared" si="8"/>
        <v>2691</v>
      </c>
      <c r="P33" s="177">
        <f t="shared" si="8"/>
        <v>2705</v>
      </c>
      <c r="Q33" s="177">
        <f t="shared" si="8"/>
        <v>2725</v>
      </c>
      <c r="R33" s="177">
        <f t="shared" si="8"/>
        <v>2740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178">
        <v>474.15800000000002</v>
      </c>
      <c r="I35" s="178">
        <v>485.589</v>
      </c>
      <c r="J35" s="178">
        <v>497.971</v>
      </c>
      <c r="K35" s="178">
        <v>545.89099999999996</v>
      </c>
      <c r="L35" s="178">
        <v>560.56799999999998</v>
      </c>
      <c r="M35" s="178">
        <v>541.60599999999999</v>
      </c>
      <c r="N35" s="178">
        <v>515</v>
      </c>
      <c r="O35" s="178">
        <v>520</v>
      </c>
      <c r="P35" s="178">
        <v>525</v>
      </c>
      <c r="Q35" s="178">
        <v>530</v>
      </c>
      <c r="R35" s="178">
        <v>535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178">
        <v>1514.607</v>
      </c>
      <c r="I36" s="178">
        <v>1491.059</v>
      </c>
      <c r="J36" s="178">
        <v>1618.32</v>
      </c>
      <c r="K36" s="178">
        <v>1931.556</v>
      </c>
      <c r="L36" s="178">
        <v>1967.7729999999999</v>
      </c>
      <c r="M36" s="178">
        <v>2046.146</v>
      </c>
      <c r="N36" s="178">
        <v>2132</v>
      </c>
      <c r="O36" s="178">
        <v>2156</v>
      </c>
      <c r="P36" s="178">
        <v>2165</v>
      </c>
      <c r="Q36" s="178">
        <v>2180</v>
      </c>
      <c r="R36" s="178">
        <v>2190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178">
        <v>22.350999999999999</v>
      </c>
      <c r="I37" s="178">
        <v>9.9280000000000008</v>
      </c>
      <c r="J37" s="178">
        <v>4.7949999999999999</v>
      </c>
      <c r="K37" s="178">
        <v>15.005000000000001</v>
      </c>
      <c r="L37" s="178">
        <v>11.895</v>
      </c>
      <c r="M37" s="178">
        <v>15.08</v>
      </c>
      <c r="N37" s="178">
        <v>15</v>
      </c>
      <c r="O37" s="178">
        <v>15</v>
      </c>
      <c r="P37" s="178">
        <v>15</v>
      </c>
      <c r="Q37" s="178">
        <v>15</v>
      </c>
      <c r="R37" s="178">
        <v>15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177">
        <f>H39+H40</f>
        <v>0</v>
      </c>
      <c r="I38" s="177">
        <f t="shared" ref="I38:R38" si="9">I39+I40</f>
        <v>0</v>
      </c>
      <c r="J38" s="177">
        <f t="shared" si="9"/>
        <v>0</v>
      </c>
      <c r="K38" s="177">
        <f t="shared" si="9"/>
        <v>0</v>
      </c>
      <c r="L38" s="177">
        <f t="shared" si="9"/>
        <v>0</v>
      </c>
      <c r="M38" s="177">
        <f t="shared" si="9"/>
        <v>0</v>
      </c>
      <c r="N38" s="177">
        <f t="shared" si="9"/>
        <v>0</v>
      </c>
      <c r="O38" s="177">
        <f t="shared" si="9"/>
        <v>0</v>
      </c>
      <c r="P38" s="177">
        <f t="shared" si="9"/>
        <v>0</v>
      </c>
      <c r="Q38" s="177">
        <f t="shared" si="9"/>
        <v>0</v>
      </c>
      <c r="R38" s="177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177">
        <f>SUM(H42:H45)</f>
        <v>-2006.7040000000002</v>
      </c>
      <c r="I41" s="177">
        <f t="shared" ref="I41:R41" si="10">SUM(I42:I45)</f>
        <v>-1985.4930000000002</v>
      </c>
      <c r="J41" s="177">
        <f t="shared" si="10"/>
        <v>-2116.683</v>
      </c>
      <c r="K41" s="177">
        <f t="shared" si="10"/>
        <v>-2488.0460000000003</v>
      </c>
      <c r="L41" s="177">
        <f t="shared" si="10"/>
        <v>-2536.8809999999999</v>
      </c>
      <c r="M41" s="177">
        <f t="shared" si="10"/>
        <v>-2599.7999999999997</v>
      </c>
      <c r="N41" s="177">
        <f t="shared" si="10"/>
        <v>-2662.0439999999999</v>
      </c>
      <c r="O41" s="177">
        <f t="shared" si="10"/>
        <v>-2691.0439999999999</v>
      </c>
      <c r="P41" s="177">
        <f t="shared" si="10"/>
        <v>-2705.0439999999999</v>
      </c>
      <c r="Q41" s="177">
        <f t="shared" si="10"/>
        <v>-2725.0439999999999</v>
      </c>
      <c r="R41" s="177">
        <f t="shared" si="10"/>
        <v>-2740.0439999999999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178">
        <v>-1097.758</v>
      </c>
      <c r="I42" s="178">
        <v>-1111.9760000000001</v>
      </c>
      <c r="J42" s="178">
        <v>-1190.462</v>
      </c>
      <c r="K42" s="178">
        <v>-1368.3589999999999</v>
      </c>
      <c r="L42" s="178">
        <v>-1479.9670000000001</v>
      </c>
      <c r="M42" s="178">
        <v>-1531.44</v>
      </c>
      <c r="N42" s="178">
        <v>-1546</v>
      </c>
      <c r="O42" s="178">
        <v>-1566</v>
      </c>
      <c r="P42" s="178">
        <v>-1586</v>
      </c>
      <c r="Q42" s="178">
        <v>-1614</v>
      </c>
      <c r="R42" s="178">
        <v>-1636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178">
        <v>-899.56200000000001</v>
      </c>
      <c r="I43" s="178">
        <v>-863.45299999999997</v>
      </c>
      <c r="J43" s="178">
        <v>-916.221</v>
      </c>
      <c r="K43" s="178">
        <v>-1102.847</v>
      </c>
      <c r="L43" s="178">
        <v>-1039.431</v>
      </c>
      <c r="M43" s="178">
        <v>-1050.511</v>
      </c>
      <c r="N43" s="178">
        <v>-1097</v>
      </c>
      <c r="O43" s="178">
        <v>-1108</v>
      </c>
      <c r="P43" s="178">
        <v>-1104</v>
      </c>
      <c r="Q43" s="178">
        <v>-1096</v>
      </c>
      <c r="R43" s="178">
        <v>-1089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178">
        <v>-1.127</v>
      </c>
      <c r="I44" s="178">
        <v>-1.8069999999999999</v>
      </c>
      <c r="J44" s="178">
        <v>-1.5549999999999999</v>
      </c>
      <c r="K44" s="178">
        <v>-7.6189999999999998</v>
      </c>
      <c r="L44" s="178">
        <v>-7.6580000000000004</v>
      </c>
      <c r="M44" s="178">
        <v>-7.8049999999999997</v>
      </c>
      <c r="N44" s="178">
        <v>-9</v>
      </c>
      <c r="O44" s="178">
        <v>-7</v>
      </c>
      <c r="P44" s="178">
        <v>-5</v>
      </c>
      <c r="Q44" s="178">
        <v>-5</v>
      </c>
      <c r="R44" s="178">
        <v>-5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178">
        <v>-8.2569999999999997</v>
      </c>
      <c r="I45" s="178">
        <v>-8.2569999999999997</v>
      </c>
      <c r="J45" s="178">
        <v>-8.4450000000000003</v>
      </c>
      <c r="K45" s="178">
        <v>-9.2210000000000001</v>
      </c>
      <c r="L45" s="178">
        <v>-9.8249999999999993</v>
      </c>
      <c r="M45" s="178">
        <v>-10.044</v>
      </c>
      <c r="N45" s="178">
        <v>-10.044</v>
      </c>
      <c r="O45" s="178">
        <v>-10.044</v>
      </c>
      <c r="P45" s="178">
        <v>-10.044</v>
      </c>
      <c r="Q45" s="178">
        <v>-10.044</v>
      </c>
      <c r="R45" s="178">
        <v>-10.044</v>
      </c>
    </row>
    <row r="46" spans="1:18" x14ac:dyDescent="0.2">
      <c r="B46" s="2" t="s">
        <v>107</v>
      </c>
      <c r="G46" s="18" t="s">
        <v>108</v>
      </c>
      <c r="H46" s="177">
        <f>H33+H38+H41</f>
        <v>4.4119999999998072</v>
      </c>
      <c r="I46" s="177">
        <f t="shared" ref="I46:R46" si="11">I33+I38+I41</f>
        <v>1.0829999999998563</v>
      </c>
      <c r="J46" s="177">
        <f t="shared" si="11"/>
        <v>4.4030000000002474</v>
      </c>
      <c r="K46" s="177">
        <f t="shared" si="11"/>
        <v>4.4059999999999491</v>
      </c>
      <c r="L46" s="177">
        <f t="shared" si="11"/>
        <v>3.3550000000000182</v>
      </c>
      <c r="M46" s="177">
        <f t="shared" si="11"/>
        <v>3.0320000000001528</v>
      </c>
      <c r="N46" s="177">
        <f t="shared" si="11"/>
        <v>-4.3999999999869033E-2</v>
      </c>
      <c r="O46" s="177">
        <f t="shared" si="11"/>
        <v>-4.3999999999869033E-2</v>
      </c>
      <c r="P46" s="177">
        <f t="shared" si="11"/>
        <v>-4.3999999999869033E-2</v>
      </c>
      <c r="Q46" s="177">
        <f t="shared" si="11"/>
        <v>-4.3999999999869033E-2</v>
      </c>
      <c r="R46" s="177">
        <f t="shared" si="11"/>
        <v>-4.3999999999869033E-2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178">
        <v>1.0680000000000001</v>
      </c>
      <c r="I47" s="178">
        <v>0.32700000000000001</v>
      </c>
      <c r="J47" s="178">
        <v>0</v>
      </c>
      <c r="K47" s="178">
        <v>0</v>
      </c>
      <c r="L47" s="178">
        <v>1.3129999999999999</v>
      </c>
      <c r="M47" s="178">
        <v>1.016</v>
      </c>
      <c r="N47" s="178"/>
      <c r="O47" s="178"/>
      <c r="P47" s="178"/>
      <c r="Q47" s="178"/>
      <c r="R47" s="178"/>
    </row>
    <row r="48" spans="1:18" x14ac:dyDescent="0.2">
      <c r="B48" s="2" t="s">
        <v>111</v>
      </c>
      <c r="G48" s="18" t="s">
        <v>112</v>
      </c>
      <c r="H48" s="177">
        <f>H46+H47</f>
        <v>5.4799999999998068</v>
      </c>
      <c r="I48" s="177">
        <f t="shared" ref="I48:R48" si="12">I46+I47</f>
        <v>1.4099999999998563</v>
      </c>
      <c r="J48" s="177">
        <f t="shared" si="12"/>
        <v>4.4030000000002474</v>
      </c>
      <c r="K48" s="177">
        <f t="shared" si="12"/>
        <v>4.4059999999999491</v>
      </c>
      <c r="L48" s="177">
        <f t="shared" si="12"/>
        <v>4.6680000000000179</v>
      </c>
      <c r="M48" s="177">
        <f t="shared" si="12"/>
        <v>4.0480000000001528</v>
      </c>
      <c r="N48" s="177">
        <f t="shared" si="12"/>
        <v>-4.3999999999869033E-2</v>
      </c>
      <c r="O48" s="177">
        <f t="shared" si="12"/>
        <v>-4.3999999999869033E-2</v>
      </c>
      <c r="P48" s="177">
        <f t="shared" si="12"/>
        <v>-4.3999999999869033E-2</v>
      </c>
      <c r="Q48" s="177">
        <f t="shared" si="12"/>
        <v>-4.3999999999869033E-2</v>
      </c>
      <c r="R48" s="177">
        <f t="shared" si="12"/>
        <v>-4.3999999999869033E-2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0</v>
      </c>
      <c r="P49" s="178">
        <v>0</v>
      </c>
      <c r="Q49" s="178">
        <v>0</v>
      </c>
      <c r="R49" s="178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178">
        <v>0</v>
      </c>
      <c r="O50" s="178">
        <v>0</v>
      </c>
      <c r="P50" s="178">
        <v>0</v>
      </c>
      <c r="Q50" s="178">
        <v>0</v>
      </c>
      <c r="R50" s="178">
        <v>0</v>
      </c>
    </row>
    <row r="51" spans="1:18" x14ac:dyDescent="0.2">
      <c r="B51" s="2" t="s">
        <v>117</v>
      </c>
      <c r="G51" s="18" t="s">
        <v>118</v>
      </c>
      <c r="H51" s="177">
        <f>H48+H49+H50</f>
        <v>5.4799999999998068</v>
      </c>
      <c r="I51" s="177">
        <f t="shared" ref="I51:R51" si="13">I48+I49+I50</f>
        <v>1.4099999999998563</v>
      </c>
      <c r="J51" s="177">
        <f t="shared" si="13"/>
        <v>4.4030000000002474</v>
      </c>
      <c r="K51" s="177">
        <f t="shared" si="13"/>
        <v>4.4059999999999491</v>
      </c>
      <c r="L51" s="177">
        <f t="shared" si="13"/>
        <v>4.6680000000000179</v>
      </c>
      <c r="M51" s="177">
        <f t="shared" si="13"/>
        <v>4.0480000000001528</v>
      </c>
      <c r="N51" s="177">
        <f t="shared" si="13"/>
        <v>-4.3999999999869033E-2</v>
      </c>
      <c r="O51" s="177">
        <f t="shared" si="13"/>
        <v>-4.3999999999869033E-2</v>
      </c>
      <c r="P51" s="177">
        <f t="shared" si="13"/>
        <v>-4.3999999999869033E-2</v>
      </c>
      <c r="Q51" s="177">
        <f t="shared" si="13"/>
        <v>-4.3999999999869033E-2</v>
      </c>
      <c r="R51" s="177">
        <f t="shared" si="13"/>
        <v>-4.3999999999869033E-2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182">
        <f>H30-H51</f>
        <v>1.936228954946273E-13</v>
      </c>
      <c r="I52" s="182">
        <f t="shared" ref="I52:R52" si="14">I30-I51</f>
        <v>-9.9999999985622701E-4</v>
      </c>
      <c r="J52" s="182">
        <f t="shared" si="14"/>
        <v>-2.4780177909633494E-13</v>
      </c>
      <c r="K52" s="182">
        <f t="shared" si="14"/>
        <v>-9.9999999994881961E-4</v>
      </c>
      <c r="L52" s="182">
        <f t="shared" si="14"/>
        <v>-9.0000000000181046E-3</v>
      </c>
      <c r="M52" s="182">
        <f t="shared" si="14"/>
        <v>-1.5276668818842154E-13</v>
      </c>
      <c r="N52" s="182">
        <f t="shared" si="14"/>
        <v>4.3999999999869033E-2</v>
      </c>
      <c r="O52" s="182">
        <f t="shared" si="14"/>
        <v>4.3999999999869033E-2</v>
      </c>
      <c r="P52" s="182">
        <f t="shared" si="14"/>
        <v>4.3999999999869033E-2</v>
      </c>
      <c r="Q52" s="182">
        <f t="shared" si="14"/>
        <v>4.3999999999869033E-2</v>
      </c>
      <c r="R52" s="182">
        <f t="shared" si="14"/>
        <v>4.3999999999869033E-2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178">
        <v>87</v>
      </c>
      <c r="I54" s="178">
        <v>76</v>
      </c>
      <c r="J54" s="178">
        <v>77</v>
      </c>
      <c r="K54" s="178">
        <v>80</v>
      </c>
      <c r="L54" s="178">
        <v>81</v>
      </c>
      <c r="M54" s="178">
        <v>80</v>
      </c>
      <c r="N54" s="178">
        <v>83</v>
      </c>
      <c r="O54" s="178">
        <v>83</v>
      </c>
      <c r="P54" s="178">
        <v>84</v>
      </c>
      <c r="Q54" s="178">
        <v>84</v>
      </c>
      <c r="R54" s="178">
        <v>84</v>
      </c>
    </row>
    <row r="55" spans="1:18" ht="12" x14ac:dyDescent="0.2">
      <c r="E55" s="20" t="s">
        <v>14</v>
      </c>
      <c r="G55" s="46" t="s">
        <v>122</v>
      </c>
      <c r="H55" s="178"/>
      <c r="I55" s="178"/>
      <c r="J55" s="178"/>
      <c r="K55" s="178"/>
      <c r="L55" s="184"/>
      <c r="M55" s="184"/>
      <c r="N55" s="184"/>
      <c r="O55" s="184"/>
      <c r="P55" s="184"/>
      <c r="Q55" s="184"/>
      <c r="R55" s="184"/>
    </row>
    <row r="57" spans="1:18" x14ac:dyDescent="0.2">
      <c r="D57" s="49" t="s">
        <v>123</v>
      </c>
      <c r="E57" s="50" t="s">
        <v>3</v>
      </c>
      <c r="F57" s="17"/>
      <c r="G57" s="174" t="s">
        <v>124</v>
      </c>
      <c r="H57" s="183">
        <f>H32</f>
        <v>2011</v>
      </c>
      <c r="I57" s="183">
        <f t="shared" ref="I57:R57" si="15">I32</f>
        <v>2012</v>
      </c>
      <c r="J57" s="183">
        <f t="shared" si="15"/>
        <v>2013</v>
      </c>
      <c r="K57" s="183">
        <f t="shared" si="15"/>
        <v>2014</v>
      </c>
      <c r="L57" s="183">
        <f t="shared" si="15"/>
        <v>2015</v>
      </c>
      <c r="M57" s="183">
        <f t="shared" si="15"/>
        <v>2016</v>
      </c>
      <c r="N57" s="183">
        <f t="shared" si="15"/>
        <v>2017</v>
      </c>
      <c r="O57" s="183">
        <f t="shared" si="15"/>
        <v>2018</v>
      </c>
      <c r="P57" s="183">
        <f t="shared" si="15"/>
        <v>2019</v>
      </c>
      <c r="Q57" s="183">
        <f t="shared" si="15"/>
        <v>2020</v>
      </c>
      <c r="R57" s="183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176" t="s">
        <v>128</v>
      </c>
      <c r="H58" s="178">
        <v>0</v>
      </c>
      <c r="I58" s="178">
        <v>0</v>
      </c>
      <c r="J58" s="178">
        <v>-37.575000000000003</v>
      </c>
      <c r="K58" s="178">
        <v>-24.398</v>
      </c>
      <c r="L58" s="178">
        <v>-10.305</v>
      </c>
      <c r="M58" s="178">
        <v>0</v>
      </c>
      <c r="N58" s="178">
        <v>0</v>
      </c>
      <c r="O58" s="178">
        <v>0</v>
      </c>
      <c r="P58" s="178">
        <v>0</v>
      </c>
      <c r="Q58" s="178">
        <v>0</v>
      </c>
      <c r="R58" s="178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178"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178">
        <v>0</v>
      </c>
      <c r="O59" s="178">
        <v>0</v>
      </c>
      <c r="P59" s="178">
        <v>0</v>
      </c>
      <c r="Q59" s="178">
        <v>0</v>
      </c>
      <c r="R59" s="178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178"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178">
        <v>0</v>
      </c>
      <c r="O60" s="178">
        <v>0</v>
      </c>
      <c r="P60" s="178">
        <v>0</v>
      </c>
      <c r="Q60" s="178">
        <v>0</v>
      </c>
      <c r="R60" s="178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178"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178"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178">
        <v>0</v>
      </c>
      <c r="O62" s="178">
        <v>0</v>
      </c>
      <c r="P62" s="178">
        <v>0</v>
      </c>
      <c r="Q62" s="178">
        <v>0</v>
      </c>
      <c r="R62" s="178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178">
        <v>0</v>
      </c>
      <c r="I63" s="178">
        <v>0</v>
      </c>
      <c r="J63" s="178">
        <v>0</v>
      </c>
      <c r="K63" s="178">
        <v>0</v>
      </c>
      <c r="L63" s="178">
        <v>0</v>
      </c>
      <c r="M63" s="178">
        <v>0</v>
      </c>
      <c r="N63" s="178">
        <v>0</v>
      </c>
      <c r="O63" s="178">
        <v>0</v>
      </c>
      <c r="P63" s="178">
        <v>0</v>
      </c>
      <c r="Q63" s="178">
        <v>0</v>
      </c>
      <c r="R63" s="178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178">
        <v>0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178">
        <v>0</v>
      </c>
      <c r="O64" s="178">
        <v>0</v>
      </c>
      <c r="P64" s="178">
        <v>0</v>
      </c>
      <c r="Q64" s="178">
        <v>0</v>
      </c>
      <c r="R64" s="178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178"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178">
        <v>0</v>
      </c>
      <c r="O65" s="178">
        <v>0</v>
      </c>
      <c r="P65" s="178">
        <v>0</v>
      </c>
      <c r="Q65" s="178">
        <v>0</v>
      </c>
      <c r="R65" s="178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178">
        <v>0</v>
      </c>
      <c r="I66" s="178">
        <v>0</v>
      </c>
      <c r="J66" s="178">
        <v>0</v>
      </c>
      <c r="K66" s="178">
        <v>0</v>
      </c>
      <c r="L66" s="178">
        <v>0</v>
      </c>
      <c r="M66" s="178">
        <v>0</v>
      </c>
      <c r="N66" s="178">
        <v>0</v>
      </c>
      <c r="O66" s="178">
        <v>0</v>
      </c>
      <c r="P66" s="178">
        <v>0</v>
      </c>
      <c r="Q66" s="178">
        <v>0</v>
      </c>
      <c r="R66" s="178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178"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  <c r="N67" s="178">
        <v>0</v>
      </c>
      <c r="O67" s="178">
        <v>0</v>
      </c>
      <c r="P67" s="178">
        <v>0</v>
      </c>
      <c r="Q67" s="178">
        <v>0</v>
      </c>
      <c r="R67" s="178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178"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178">
        <v>0</v>
      </c>
      <c r="O68" s="178">
        <v>0</v>
      </c>
      <c r="P68" s="178">
        <v>0</v>
      </c>
      <c r="Q68" s="178">
        <v>0</v>
      </c>
      <c r="R68" s="178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178">
        <v>0.312</v>
      </c>
      <c r="I70" s="178">
        <v>1.0429999999999999</v>
      </c>
      <c r="J70" s="178">
        <v>0.04</v>
      </c>
      <c r="K70" s="178">
        <v>0</v>
      </c>
      <c r="L70" s="178">
        <v>0.69699999999999995</v>
      </c>
      <c r="M70" s="178">
        <v>1</v>
      </c>
      <c r="N70" s="178">
        <v>0</v>
      </c>
      <c r="O70" s="178">
        <v>0</v>
      </c>
      <c r="P70" s="178">
        <v>0</v>
      </c>
      <c r="Q70" s="178">
        <v>0</v>
      </c>
      <c r="R70" s="178">
        <v>0</v>
      </c>
    </row>
    <row r="71" spans="2:18" x14ac:dyDescent="0.2">
      <c r="B71" s="51" t="s">
        <v>162</v>
      </c>
      <c r="D71" s="16"/>
      <c r="E71" s="22"/>
      <c r="F71" s="22"/>
      <c r="G71" s="185" t="s">
        <v>163</v>
      </c>
      <c r="H71" s="177">
        <f t="shared" ref="H71:R71" si="16">SUM(H58:H70)</f>
        <v>0.312</v>
      </c>
      <c r="I71" s="177">
        <f t="shared" si="16"/>
        <v>1.0429999999999999</v>
      </c>
      <c r="J71" s="177">
        <f t="shared" si="16"/>
        <v>-37.535000000000004</v>
      </c>
      <c r="K71" s="177">
        <f t="shared" si="16"/>
        <v>-24.398</v>
      </c>
      <c r="L71" s="177">
        <f t="shared" si="16"/>
        <v>-9.6080000000000005</v>
      </c>
      <c r="M71" s="177">
        <f t="shared" si="16"/>
        <v>1</v>
      </c>
      <c r="N71" s="177">
        <f t="shared" si="16"/>
        <v>0</v>
      </c>
      <c r="O71" s="177">
        <f t="shared" si="16"/>
        <v>0</v>
      </c>
      <c r="P71" s="177">
        <f t="shared" si="16"/>
        <v>0</v>
      </c>
      <c r="Q71" s="177">
        <f t="shared" si="16"/>
        <v>0</v>
      </c>
      <c r="R71" s="177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174" t="s">
        <v>164</v>
      </c>
      <c r="H73" s="183">
        <f t="shared" ref="H73:R73" si="17">H57</f>
        <v>2011</v>
      </c>
      <c r="I73" s="183">
        <f t="shared" si="17"/>
        <v>2012</v>
      </c>
      <c r="J73" s="183">
        <f t="shared" si="17"/>
        <v>2013</v>
      </c>
      <c r="K73" s="183">
        <f t="shared" si="17"/>
        <v>2014</v>
      </c>
      <c r="L73" s="183">
        <f t="shared" si="17"/>
        <v>2015</v>
      </c>
      <c r="M73" s="183">
        <f t="shared" si="17"/>
        <v>2016</v>
      </c>
      <c r="N73" s="183">
        <f t="shared" si="17"/>
        <v>2017</v>
      </c>
      <c r="O73" s="183">
        <f t="shared" si="17"/>
        <v>2018</v>
      </c>
      <c r="P73" s="183">
        <f t="shared" si="17"/>
        <v>2019</v>
      </c>
      <c r="Q73" s="183">
        <f t="shared" si="17"/>
        <v>2020</v>
      </c>
      <c r="R73" s="183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176" t="s">
        <v>167</v>
      </c>
      <c r="H74" s="178">
        <v>0</v>
      </c>
      <c r="I74" s="178">
        <v>0</v>
      </c>
      <c r="J74" s="178">
        <v>0</v>
      </c>
      <c r="K74" s="178">
        <v>0</v>
      </c>
      <c r="L74" s="178">
        <v>0</v>
      </c>
      <c r="M74" s="178">
        <v>0</v>
      </c>
      <c r="N74" s="178">
        <v>0</v>
      </c>
      <c r="O74" s="178">
        <v>0</v>
      </c>
      <c r="P74" s="178">
        <v>0</v>
      </c>
      <c r="Q74" s="178">
        <v>0</v>
      </c>
      <c r="R74" s="178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178">
        <v>0</v>
      </c>
      <c r="I75" s="178">
        <v>0</v>
      </c>
      <c r="J75" s="178">
        <v>0</v>
      </c>
      <c r="K75" s="178">
        <v>0</v>
      </c>
      <c r="L75" s="178">
        <v>0</v>
      </c>
      <c r="M75" s="178">
        <v>0</v>
      </c>
      <c r="N75" s="178">
        <v>0</v>
      </c>
      <c r="O75" s="178">
        <v>0</v>
      </c>
      <c r="P75" s="178">
        <v>0</v>
      </c>
      <c r="Q75" s="178">
        <v>0</v>
      </c>
      <c r="R75" s="178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178"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178">
        <v>0</v>
      </c>
      <c r="O76" s="178">
        <v>0</v>
      </c>
      <c r="P76" s="178">
        <v>0</v>
      </c>
      <c r="Q76" s="178">
        <v>0</v>
      </c>
      <c r="R76" s="178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178">
        <v>0</v>
      </c>
      <c r="O77" s="178">
        <v>0</v>
      </c>
      <c r="P77" s="178">
        <v>0</v>
      </c>
      <c r="Q77" s="178">
        <v>0</v>
      </c>
      <c r="R77" s="178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178"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178">
        <v>0</v>
      </c>
      <c r="O78" s="178">
        <v>0</v>
      </c>
      <c r="P78" s="178">
        <v>0</v>
      </c>
      <c r="Q78" s="178">
        <v>0</v>
      </c>
      <c r="R78" s="178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178"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178"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178">
        <v>0</v>
      </c>
      <c r="O80" s="178">
        <v>0</v>
      </c>
      <c r="P80" s="178">
        <v>0</v>
      </c>
      <c r="Q80" s="178">
        <v>0</v>
      </c>
      <c r="R80" s="178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178">
        <v>0</v>
      </c>
      <c r="I81" s="178">
        <v>0</v>
      </c>
      <c r="J81" s="178">
        <v>0</v>
      </c>
      <c r="K81" s="178">
        <v>0</v>
      </c>
      <c r="L81" s="178">
        <v>0</v>
      </c>
      <c r="M81" s="178">
        <v>0</v>
      </c>
      <c r="N81" s="178">
        <v>0</v>
      </c>
      <c r="O81" s="178">
        <v>0</v>
      </c>
      <c r="P81" s="178">
        <v>0</v>
      </c>
      <c r="Q81" s="178">
        <v>0</v>
      </c>
      <c r="R81" s="178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178">
        <v>0</v>
      </c>
      <c r="I82" s="178">
        <v>0</v>
      </c>
      <c r="J82" s="178">
        <v>0</v>
      </c>
      <c r="K82" s="178">
        <v>0</v>
      </c>
      <c r="L82" s="178">
        <v>0</v>
      </c>
      <c r="M82" s="178">
        <v>0</v>
      </c>
      <c r="N82" s="178">
        <v>0</v>
      </c>
      <c r="O82" s="178">
        <v>0</v>
      </c>
      <c r="P82" s="178">
        <v>0</v>
      </c>
      <c r="Q82" s="178">
        <v>0</v>
      </c>
      <c r="R82" s="178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178">
        <v>0</v>
      </c>
      <c r="I83" s="178">
        <v>0</v>
      </c>
      <c r="J83" s="178">
        <v>0</v>
      </c>
      <c r="K83" s="178">
        <v>0</v>
      </c>
      <c r="L83" s="178">
        <v>0</v>
      </c>
      <c r="M83" s="178">
        <v>0</v>
      </c>
      <c r="N83" s="178">
        <v>0</v>
      </c>
      <c r="O83" s="178">
        <v>0</v>
      </c>
      <c r="P83" s="178">
        <v>0</v>
      </c>
      <c r="Q83" s="178">
        <v>0</v>
      </c>
      <c r="R83" s="178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178">
        <v>0</v>
      </c>
      <c r="I84" s="178">
        <v>0</v>
      </c>
      <c r="J84" s="178">
        <v>0</v>
      </c>
      <c r="K84" s="178">
        <v>0</v>
      </c>
      <c r="L84" s="178">
        <v>0</v>
      </c>
      <c r="M84" s="178">
        <v>0</v>
      </c>
      <c r="N84" s="178">
        <v>0</v>
      </c>
      <c r="O84" s="178">
        <v>0</v>
      </c>
      <c r="P84" s="178">
        <v>0</v>
      </c>
      <c r="Q84" s="178">
        <v>0</v>
      </c>
      <c r="R84" s="178">
        <v>0</v>
      </c>
    </row>
    <row r="85" spans="1:18" x14ac:dyDescent="0.2">
      <c r="B85" s="2" t="s">
        <v>192</v>
      </c>
      <c r="G85" s="186" t="s">
        <v>163</v>
      </c>
      <c r="H85" s="177">
        <f t="shared" ref="H85:R85" si="18">SUM(H74:H84)</f>
        <v>0</v>
      </c>
      <c r="I85" s="177">
        <f t="shared" si="18"/>
        <v>0</v>
      </c>
      <c r="J85" s="177">
        <f t="shared" si="18"/>
        <v>0</v>
      </c>
      <c r="K85" s="177">
        <f t="shared" si="18"/>
        <v>0</v>
      </c>
      <c r="L85" s="177">
        <f t="shared" si="18"/>
        <v>0</v>
      </c>
      <c r="M85" s="177">
        <f t="shared" si="18"/>
        <v>0</v>
      </c>
      <c r="N85" s="177">
        <f t="shared" si="18"/>
        <v>0</v>
      </c>
      <c r="O85" s="177">
        <f t="shared" si="18"/>
        <v>0</v>
      </c>
      <c r="P85" s="177">
        <f t="shared" si="18"/>
        <v>0</v>
      </c>
      <c r="Q85" s="177">
        <f t="shared" si="18"/>
        <v>0</v>
      </c>
      <c r="R85" s="177">
        <f t="shared" si="18"/>
        <v>0</v>
      </c>
    </row>
    <row r="87" spans="1:18" x14ac:dyDescent="0.2">
      <c r="A87" s="23" t="s">
        <v>0</v>
      </c>
      <c r="D87" s="1272" t="s">
        <v>193</v>
      </c>
      <c r="E87" s="1273"/>
      <c r="G87" s="174" t="s">
        <v>194</v>
      </c>
      <c r="H87" s="183">
        <f t="shared" ref="H87:R87" si="19">H32</f>
        <v>2011</v>
      </c>
      <c r="I87" s="183">
        <f t="shared" si="19"/>
        <v>2012</v>
      </c>
      <c r="J87" s="183">
        <f t="shared" si="19"/>
        <v>2013</v>
      </c>
      <c r="K87" s="183">
        <f t="shared" si="19"/>
        <v>2014</v>
      </c>
      <c r="L87" s="183">
        <f t="shared" si="19"/>
        <v>2015</v>
      </c>
      <c r="M87" s="183">
        <f t="shared" si="19"/>
        <v>2016</v>
      </c>
      <c r="N87" s="183">
        <f t="shared" si="19"/>
        <v>2017</v>
      </c>
      <c r="O87" s="183">
        <f t="shared" si="19"/>
        <v>2018</v>
      </c>
      <c r="P87" s="183">
        <f t="shared" si="19"/>
        <v>2019</v>
      </c>
      <c r="Q87" s="183">
        <f t="shared" si="19"/>
        <v>2020</v>
      </c>
      <c r="R87" s="183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187"/>
      <c r="G88" s="176" t="s">
        <v>198</v>
      </c>
      <c r="H88" s="177">
        <f>H46+H71</f>
        <v>4.7239999999998075</v>
      </c>
      <c r="I88" s="177">
        <f t="shared" ref="I88:R88" si="20">I46+I71</f>
        <v>2.1259999999998564</v>
      </c>
      <c r="J88" s="177">
        <f t="shared" si="20"/>
        <v>-33.131999999999756</v>
      </c>
      <c r="K88" s="177">
        <f t="shared" si="20"/>
        <v>-19.992000000000051</v>
      </c>
      <c r="L88" s="177">
        <f t="shared" si="20"/>
        <v>-6.2529999999999824</v>
      </c>
      <c r="M88" s="177">
        <f t="shared" si="20"/>
        <v>4.0320000000001528</v>
      </c>
      <c r="N88" s="177">
        <f t="shared" si="20"/>
        <v>-4.3999999999869033E-2</v>
      </c>
      <c r="O88" s="177">
        <f t="shared" si="20"/>
        <v>-4.3999999999869033E-2</v>
      </c>
      <c r="P88" s="177">
        <f t="shared" si="20"/>
        <v>-4.3999999999869033E-2</v>
      </c>
      <c r="Q88" s="177">
        <f t="shared" si="20"/>
        <v>-4.3999999999869033E-2</v>
      </c>
      <c r="R88" s="177">
        <f t="shared" si="20"/>
        <v>-4.3999999999869033E-2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187"/>
      <c r="G89" s="176" t="s">
        <v>202</v>
      </c>
      <c r="H89" s="188">
        <f t="shared" ref="H89:R89" si="21">H33+H38+H41-H45</f>
        <v>12.668999999999807</v>
      </c>
      <c r="I89" s="177">
        <f t="shared" si="21"/>
        <v>9.339999999999856</v>
      </c>
      <c r="J89" s="177">
        <f t="shared" si="21"/>
        <v>12.848000000000248</v>
      </c>
      <c r="K89" s="177">
        <f t="shared" si="21"/>
        <v>13.626999999999949</v>
      </c>
      <c r="L89" s="177">
        <f t="shared" si="21"/>
        <v>13.180000000000017</v>
      </c>
      <c r="M89" s="177">
        <f t="shared" si="21"/>
        <v>13.076000000000153</v>
      </c>
      <c r="N89" s="177">
        <f t="shared" si="21"/>
        <v>10.000000000000131</v>
      </c>
      <c r="O89" s="177">
        <f t="shared" si="21"/>
        <v>10.000000000000131</v>
      </c>
      <c r="P89" s="177">
        <f t="shared" si="21"/>
        <v>10.000000000000131</v>
      </c>
      <c r="Q89" s="177">
        <f t="shared" si="21"/>
        <v>10.000000000000131</v>
      </c>
      <c r="R89" s="177">
        <f t="shared" si="21"/>
        <v>10.000000000000131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189">
        <v>0</v>
      </c>
      <c r="G90" s="186" t="s">
        <v>206</v>
      </c>
      <c r="H90" s="190">
        <f t="shared" ref="H90:R90" si="22">H89/H33</f>
        <v>6.2994874487596973E-3</v>
      </c>
      <c r="I90" s="191">
        <f t="shared" si="22"/>
        <v>4.7015568495742703E-3</v>
      </c>
      <c r="J90" s="191">
        <f t="shared" si="22"/>
        <v>6.0572744339457462E-3</v>
      </c>
      <c r="K90" s="191">
        <f t="shared" si="22"/>
        <v>5.4673068929712377E-3</v>
      </c>
      <c r="L90" s="191">
        <f t="shared" si="22"/>
        <v>5.1884942973802507E-3</v>
      </c>
      <c r="M90" s="191">
        <f t="shared" si="22"/>
        <v>5.0237587366376906E-3</v>
      </c>
      <c r="N90" s="191">
        <f t="shared" si="22"/>
        <v>3.7565740045079382E-3</v>
      </c>
      <c r="O90" s="191">
        <f t="shared" si="22"/>
        <v>3.7160906726124605E-3</v>
      </c>
      <c r="P90" s="191">
        <f t="shared" si="22"/>
        <v>3.6968576709797158E-3</v>
      </c>
      <c r="Q90" s="191">
        <f t="shared" si="22"/>
        <v>3.6697247706422502E-3</v>
      </c>
      <c r="R90" s="191">
        <f t="shared" si="22"/>
        <v>3.6496350364963984E-3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187"/>
      <c r="G91" s="18" t="s">
        <v>210</v>
      </c>
      <c r="H91" s="192">
        <f t="shared" ref="H91:R91" si="23">-H33/(H38+H41)</f>
        <v>1.0021986301915977</v>
      </c>
      <c r="I91" s="192">
        <f t="shared" si="23"/>
        <v>1.0005454564684941</v>
      </c>
      <c r="J91" s="192">
        <f t="shared" si="23"/>
        <v>1.0020801414288301</v>
      </c>
      <c r="K91" s="192">
        <f t="shared" si="23"/>
        <v>1.0017708675804224</v>
      </c>
      <c r="L91" s="192">
        <f t="shared" si="23"/>
        <v>1.0013224900970916</v>
      </c>
      <c r="M91" s="192">
        <f t="shared" si="23"/>
        <v>1.0011662435571969</v>
      </c>
      <c r="N91" s="192">
        <f t="shared" si="23"/>
        <v>0.99998347134758103</v>
      </c>
      <c r="O91" s="192">
        <f t="shared" si="23"/>
        <v>0.99998364946838481</v>
      </c>
      <c r="P91" s="192">
        <f t="shared" si="23"/>
        <v>0.99998373409083186</v>
      </c>
      <c r="Q91" s="192">
        <f t="shared" si="23"/>
        <v>0.9999838534717238</v>
      </c>
      <c r="R91" s="192">
        <f t="shared" si="23"/>
        <v>0.99998394186370732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187"/>
      <c r="G92" s="176" t="s">
        <v>214</v>
      </c>
      <c r="H92" s="188">
        <f>H46</f>
        <v>4.4119999999998072</v>
      </c>
      <c r="I92" s="188">
        <f t="shared" ref="I92:R92" si="24">I46</f>
        <v>1.0829999999998563</v>
      </c>
      <c r="J92" s="188">
        <f t="shared" si="24"/>
        <v>4.4030000000002474</v>
      </c>
      <c r="K92" s="188">
        <f t="shared" si="24"/>
        <v>4.4059999999999491</v>
      </c>
      <c r="L92" s="188">
        <f t="shared" si="24"/>
        <v>3.3550000000000182</v>
      </c>
      <c r="M92" s="188">
        <f t="shared" si="24"/>
        <v>3.0320000000001528</v>
      </c>
      <c r="N92" s="188">
        <f t="shared" si="24"/>
        <v>-4.3999999999869033E-2</v>
      </c>
      <c r="O92" s="188">
        <f t="shared" si="24"/>
        <v>-4.3999999999869033E-2</v>
      </c>
      <c r="P92" s="188">
        <f t="shared" si="24"/>
        <v>-4.3999999999869033E-2</v>
      </c>
      <c r="Q92" s="188">
        <f t="shared" si="24"/>
        <v>-4.3999999999869033E-2</v>
      </c>
      <c r="R92" s="188">
        <f t="shared" si="24"/>
        <v>-4.3999999999869033E-2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189">
        <v>-0.3</v>
      </c>
      <c r="E93" s="189">
        <v>0</v>
      </c>
      <c r="G93" s="18" t="s">
        <v>218</v>
      </c>
      <c r="H93" s="193">
        <f>H46/H33</f>
        <v>2.1938068216849787E-3</v>
      </c>
      <c r="I93" s="194">
        <f t="shared" ref="I93:R93" si="25">I46/I33</f>
        <v>5.4515910793237021E-4</v>
      </c>
      <c r="J93" s="194">
        <f t="shared" si="25"/>
        <v>2.0758234225298961E-3</v>
      </c>
      <c r="K93" s="194">
        <f t="shared" si="25"/>
        <v>1.767737152009326E-3</v>
      </c>
      <c r="L93" s="194">
        <f t="shared" si="25"/>
        <v>1.3207434269886806E-3</v>
      </c>
      <c r="M93" s="194">
        <f t="shared" si="25"/>
        <v>1.1648850175501734E-3</v>
      </c>
      <c r="N93" s="194">
        <f t="shared" si="25"/>
        <v>-1.6528925619785512E-5</v>
      </c>
      <c r="O93" s="194">
        <f t="shared" si="25"/>
        <v>-1.6350798959445943E-5</v>
      </c>
      <c r="P93" s="194">
        <f t="shared" si="25"/>
        <v>-1.626617375226212E-5</v>
      </c>
      <c r="Q93" s="194">
        <f t="shared" si="25"/>
        <v>-1.6146788990777626E-5</v>
      </c>
      <c r="R93" s="194">
        <f t="shared" si="25"/>
        <v>-1.6058394160536144E-5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187"/>
      <c r="G94" s="186" t="s">
        <v>222</v>
      </c>
      <c r="H94" s="188">
        <f>H29+H30</f>
        <v>-219.52500000000001</v>
      </c>
      <c r="I94" s="188">
        <f t="shared" ref="I94:R94" si="26">I29+I30</f>
        <v>-218.11600000000001</v>
      </c>
      <c r="J94" s="188">
        <f t="shared" si="26"/>
        <v>-213.71300000000002</v>
      </c>
      <c r="K94" s="188">
        <f t="shared" si="26"/>
        <v>-209.30799999999999</v>
      </c>
      <c r="L94" s="188">
        <f t="shared" si="26"/>
        <v>-204.649</v>
      </c>
      <c r="M94" s="188">
        <f t="shared" si="26"/>
        <v>-200.601</v>
      </c>
      <c r="N94" s="188">
        <f t="shared" si="26"/>
        <v>-200.601</v>
      </c>
      <c r="O94" s="188">
        <f t="shared" si="26"/>
        <v>-200.601</v>
      </c>
      <c r="P94" s="188">
        <f t="shared" si="26"/>
        <v>-200.601</v>
      </c>
      <c r="Q94" s="188">
        <f t="shared" si="26"/>
        <v>-200.601</v>
      </c>
      <c r="R94" s="188">
        <f t="shared" si="26"/>
        <v>-200.601</v>
      </c>
    </row>
    <row r="95" spans="1:18" x14ac:dyDescent="0.2">
      <c r="G95" s="68" t="s">
        <v>223</v>
      </c>
      <c r="H95" s="183">
        <f t="shared" ref="H95:R95" si="27">H87</f>
        <v>2011</v>
      </c>
      <c r="I95" s="183">
        <f t="shared" si="27"/>
        <v>2012</v>
      </c>
      <c r="J95" s="183">
        <f t="shared" si="27"/>
        <v>2013</v>
      </c>
      <c r="K95" s="183">
        <f t="shared" si="27"/>
        <v>2014</v>
      </c>
      <c r="L95" s="183">
        <f t="shared" si="27"/>
        <v>2015</v>
      </c>
      <c r="M95" s="183">
        <f t="shared" si="27"/>
        <v>2016</v>
      </c>
      <c r="N95" s="183">
        <f t="shared" si="27"/>
        <v>2017</v>
      </c>
      <c r="O95" s="183">
        <f t="shared" si="27"/>
        <v>2018</v>
      </c>
      <c r="P95" s="183">
        <f t="shared" si="27"/>
        <v>2019</v>
      </c>
      <c r="Q95" s="183">
        <f t="shared" si="27"/>
        <v>2020</v>
      </c>
      <c r="R95" s="183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187"/>
      <c r="F96" s="69"/>
      <c r="G96" s="176" t="s">
        <v>227</v>
      </c>
      <c r="H96" s="188">
        <f t="shared" ref="H96:R96" si="28">H6+H12</f>
        <v>139.83000000000001</v>
      </c>
      <c r="I96" s="177">
        <f t="shared" si="28"/>
        <v>152.179</v>
      </c>
      <c r="J96" s="177">
        <f t="shared" si="28"/>
        <v>162.88200000000001</v>
      </c>
      <c r="K96" s="177">
        <f t="shared" si="28"/>
        <v>151.06800000000001</v>
      </c>
      <c r="L96" s="177">
        <f t="shared" si="28"/>
        <v>167.58600000000001</v>
      </c>
      <c r="M96" s="177">
        <f t="shared" si="28"/>
        <v>160.77600000000001</v>
      </c>
      <c r="N96" s="177">
        <f t="shared" si="28"/>
        <v>165</v>
      </c>
      <c r="O96" s="177">
        <f t="shared" si="28"/>
        <v>168</v>
      </c>
      <c r="P96" s="177">
        <f t="shared" si="28"/>
        <v>165</v>
      </c>
      <c r="Q96" s="177">
        <f t="shared" si="28"/>
        <v>167</v>
      </c>
      <c r="R96" s="177">
        <f t="shared" si="28"/>
        <v>171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187"/>
      <c r="F97" s="69"/>
      <c r="G97" s="18" t="s">
        <v>230</v>
      </c>
      <c r="H97" s="188">
        <f>H19</f>
        <v>273.01100000000002</v>
      </c>
      <c r="I97" s="188">
        <f t="shared" ref="I97:R97" si="29">I19</f>
        <v>272.60500000000002</v>
      </c>
      <c r="J97" s="188">
        <f t="shared" si="29"/>
        <v>326.72500000000002</v>
      </c>
      <c r="K97" s="188">
        <f t="shared" si="29"/>
        <v>318.80399999999997</v>
      </c>
      <c r="L97" s="188">
        <f t="shared" si="29"/>
        <v>333.26600000000002</v>
      </c>
      <c r="M97" s="188">
        <f t="shared" si="29"/>
        <v>300.108</v>
      </c>
      <c r="N97" s="188">
        <f t="shared" si="29"/>
        <v>296</v>
      </c>
      <c r="O97" s="188">
        <f t="shared" si="29"/>
        <v>289</v>
      </c>
      <c r="P97" s="188">
        <f t="shared" si="29"/>
        <v>280</v>
      </c>
      <c r="Q97" s="188">
        <f t="shared" si="29"/>
        <v>287</v>
      </c>
      <c r="R97" s="188">
        <f t="shared" si="29"/>
        <v>282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187"/>
      <c r="F98" s="69"/>
      <c r="G98" s="18" t="s">
        <v>234</v>
      </c>
      <c r="H98" s="188">
        <f t="shared" ref="H98:R98" si="30">H97-H96</f>
        <v>133.18100000000001</v>
      </c>
      <c r="I98" s="177">
        <f t="shared" si="30"/>
        <v>120.42600000000002</v>
      </c>
      <c r="J98" s="177">
        <f t="shared" si="30"/>
        <v>163.84300000000002</v>
      </c>
      <c r="K98" s="177">
        <f t="shared" si="30"/>
        <v>167.73599999999996</v>
      </c>
      <c r="L98" s="177">
        <f t="shared" si="30"/>
        <v>165.68</v>
      </c>
      <c r="M98" s="177">
        <f t="shared" si="30"/>
        <v>139.33199999999999</v>
      </c>
      <c r="N98" s="177">
        <f t="shared" si="30"/>
        <v>131</v>
      </c>
      <c r="O98" s="177">
        <f t="shared" si="30"/>
        <v>121</v>
      </c>
      <c r="P98" s="177">
        <f t="shared" si="30"/>
        <v>115</v>
      </c>
      <c r="Q98" s="177">
        <f t="shared" si="30"/>
        <v>120</v>
      </c>
      <c r="R98" s="177">
        <f t="shared" si="30"/>
        <v>111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189">
        <v>0.4</v>
      </c>
      <c r="F99" s="69"/>
      <c r="G99" s="18" t="s">
        <v>238</v>
      </c>
      <c r="H99" s="195">
        <f t="shared" ref="H99:R99" si="31">H98/H33</f>
        <v>6.6222435702366259E-2</v>
      </c>
      <c r="I99" s="191">
        <f t="shared" si="31"/>
        <v>6.0619880638847955E-2</v>
      </c>
      <c r="J99" s="191">
        <f t="shared" si="31"/>
        <v>7.7244864187496404E-2</v>
      </c>
      <c r="K99" s="191">
        <f t="shared" si="31"/>
        <v>6.7297584868234145E-2</v>
      </c>
      <c r="L99" s="191">
        <f t="shared" si="31"/>
        <v>6.522228643322904E-2</v>
      </c>
      <c r="M99" s="191">
        <f t="shared" si="31"/>
        <v>5.3530923240531852E-2</v>
      </c>
      <c r="N99" s="191">
        <f t="shared" si="31"/>
        <v>4.9211119459053342E-2</v>
      </c>
      <c r="O99" s="191">
        <f t="shared" si="31"/>
        <v>4.4964697138610184E-2</v>
      </c>
      <c r="P99" s="191">
        <f t="shared" si="31"/>
        <v>4.2513863216266171E-2</v>
      </c>
      <c r="Q99" s="191">
        <f t="shared" si="31"/>
        <v>4.4036697247706424E-2</v>
      </c>
      <c r="R99" s="191">
        <f t="shared" si="31"/>
        <v>4.0510948905109492E-2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196">
        <v>0</v>
      </c>
      <c r="E100" s="196">
        <v>5</v>
      </c>
      <c r="F100" s="69"/>
      <c r="G100" s="18" t="s">
        <v>242</v>
      </c>
      <c r="H100" s="192">
        <f t="shared" ref="H100:R100" si="32">H98/H89</f>
        <v>10.512352987607708</v>
      </c>
      <c r="I100" s="192">
        <f t="shared" si="32"/>
        <v>12.893576017130821</v>
      </c>
      <c r="J100" s="192">
        <f t="shared" si="32"/>
        <v>12.752412826898883</v>
      </c>
      <c r="K100" s="192">
        <f t="shared" si="32"/>
        <v>12.309092243340471</v>
      </c>
      <c r="L100" s="192">
        <f t="shared" si="32"/>
        <v>12.570561456752639</v>
      </c>
      <c r="M100" s="192">
        <f t="shared" si="32"/>
        <v>10.655552156622695</v>
      </c>
      <c r="N100" s="192">
        <f t="shared" si="32"/>
        <v>13.099999999999827</v>
      </c>
      <c r="O100" s="192">
        <f t="shared" si="32"/>
        <v>12.099999999999842</v>
      </c>
      <c r="P100" s="192">
        <f t="shared" si="32"/>
        <v>11.499999999999849</v>
      </c>
      <c r="Q100" s="192">
        <f t="shared" si="32"/>
        <v>11.999999999999842</v>
      </c>
      <c r="R100" s="192">
        <f t="shared" si="32"/>
        <v>11.099999999999854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187"/>
      <c r="F101" s="69"/>
      <c r="G101" s="18" t="s">
        <v>246</v>
      </c>
      <c r="H101" s="188">
        <f t="shared" ref="H101:R101" si="33">-(H75+H77+H78+H79+H80+H81)</f>
        <v>0</v>
      </c>
      <c r="I101" s="188">
        <f t="shared" si="33"/>
        <v>0</v>
      </c>
      <c r="J101" s="188">
        <f t="shared" si="33"/>
        <v>0</v>
      </c>
      <c r="K101" s="188">
        <f t="shared" si="33"/>
        <v>0</v>
      </c>
      <c r="L101" s="188">
        <f t="shared" si="33"/>
        <v>0</v>
      </c>
      <c r="M101" s="188">
        <f t="shared" si="33"/>
        <v>0</v>
      </c>
      <c r="N101" s="188">
        <f t="shared" si="33"/>
        <v>0</v>
      </c>
      <c r="O101" s="188">
        <f t="shared" si="33"/>
        <v>0</v>
      </c>
      <c r="P101" s="188">
        <f t="shared" si="33"/>
        <v>0</v>
      </c>
      <c r="Q101" s="188">
        <f t="shared" si="33"/>
        <v>0</v>
      </c>
      <c r="R101" s="188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196">
        <v>1.2</v>
      </c>
      <c r="F102" s="69"/>
      <c r="G102" s="18" t="s">
        <v>250</v>
      </c>
      <c r="H102" s="197" t="e">
        <f t="shared" ref="H102:R102" si="34">H89/H101</f>
        <v>#DIV/0!</v>
      </c>
      <c r="I102" s="192" t="e">
        <f t="shared" si="34"/>
        <v>#DIV/0!</v>
      </c>
      <c r="J102" s="192" t="e">
        <f t="shared" si="34"/>
        <v>#DIV/0!</v>
      </c>
      <c r="K102" s="192" t="e">
        <f t="shared" si="34"/>
        <v>#DIV/0!</v>
      </c>
      <c r="L102" s="192" t="e">
        <f t="shared" si="34"/>
        <v>#DIV/0!</v>
      </c>
      <c r="M102" s="192" t="e">
        <f t="shared" si="34"/>
        <v>#DIV/0!</v>
      </c>
      <c r="N102" s="192" t="e">
        <f t="shared" si="34"/>
        <v>#DIV/0!</v>
      </c>
      <c r="O102" s="192" t="e">
        <f t="shared" si="34"/>
        <v>#DIV/0!</v>
      </c>
      <c r="P102" s="192" t="e">
        <f t="shared" si="34"/>
        <v>#DIV/0!</v>
      </c>
      <c r="Q102" s="192" t="e">
        <f t="shared" si="34"/>
        <v>#DIV/0!</v>
      </c>
      <c r="R102" s="192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196">
        <v>0</v>
      </c>
      <c r="F103" s="69"/>
      <c r="G103" s="176" t="s">
        <v>254</v>
      </c>
      <c r="H103" s="188">
        <f t="shared" ref="H103:R103" si="35">H5-H20</f>
        <v>-37.930000000000007</v>
      </c>
      <c r="I103" s="188">
        <f t="shared" si="35"/>
        <v>-28.006000000000029</v>
      </c>
      <c r="J103" s="188">
        <f t="shared" si="35"/>
        <v>-52.215000000000032</v>
      </c>
      <c r="K103" s="188">
        <f t="shared" si="35"/>
        <v>-62.730999999999995</v>
      </c>
      <c r="L103" s="188">
        <f t="shared" si="35"/>
        <v>-58.295000000000016</v>
      </c>
      <c r="M103" s="188">
        <f t="shared" si="35"/>
        <v>-43.944999999999993</v>
      </c>
      <c r="N103" s="188">
        <f t="shared" si="35"/>
        <v>-34</v>
      </c>
      <c r="O103" s="188">
        <f t="shared" si="35"/>
        <v>-23</v>
      </c>
      <c r="P103" s="188">
        <f t="shared" si="35"/>
        <v>-13</v>
      </c>
      <c r="Q103" s="188">
        <f t="shared" si="35"/>
        <v>-3</v>
      </c>
      <c r="R103" s="188">
        <f t="shared" si="35"/>
        <v>8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196">
        <v>1</v>
      </c>
      <c r="F104" s="69"/>
      <c r="G104" s="18" t="s">
        <v>258</v>
      </c>
      <c r="H104" s="197">
        <f t="shared" ref="H104:R104" si="36">H5/H20</f>
        <v>0.86106786906022104</v>
      </c>
      <c r="I104" s="197">
        <f t="shared" si="36"/>
        <v>0.89726527393114575</v>
      </c>
      <c r="J104" s="197">
        <f t="shared" si="36"/>
        <v>0.84018670135434992</v>
      </c>
      <c r="K104" s="197">
        <f t="shared" si="36"/>
        <v>0.80323019786451866</v>
      </c>
      <c r="L104" s="197">
        <f t="shared" si="36"/>
        <v>0.82507966609255068</v>
      </c>
      <c r="M104" s="197">
        <f t="shared" si="36"/>
        <v>0.85356938168925856</v>
      </c>
      <c r="N104" s="197">
        <f t="shared" si="36"/>
        <v>0.88513513513513509</v>
      </c>
      <c r="O104" s="197">
        <f t="shared" si="36"/>
        <v>0.92041522491349481</v>
      </c>
      <c r="P104" s="197">
        <f t="shared" si="36"/>
        <v>0.95357142857142863</v>
      </c>
      <c r="Q104" s="197">
        <f t="shared" si="36"/>
        <v>0.98954703832752611</v>
      </c>
      <c r="R104" s="197">
        <f t="shared" si="36"/>
        <v>1.0283687943262412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196">
        <v>1</v>
      </c>
      <c r="F105" s="69"/>
      <c r="G105" s="186" t="s">
        <v>262</v>
      </c>
      <c r="H105" s="197">
        <f t="shared" ref="H105:R105" si="37">-H6/((H38+H41-H45+H47)/12)</f>
        <v>0.8400809260535933</v>
      </c>
      <c r="I105" s="197">
        <f t="shared" si="37"/>
        <v>0.9237390289588443</v>
      </c>
      <c r="J105" s="197">
        <f t="shared" si="37"/>
        <v>0.92711733684716813</v>
      </c>
      <c r="K105" s="197">
        <f t="shared" si="37"/>
        <v>0.73132068621221746</v>
      </c>
      <c r="L105" s="197">
        <f t="shared" si="37"/>
        <v>0.7962140249423636</v>
      </c>
      <c r="M105" s="197">
        <f t="shared" si="37"/>
        <v>0.74527067221891741</v>
      </c>
      <c r="N105" s="197">
        <f t="shared" si="37"/>
        <v>0.74660633484162897</v>
      </c>
      <c r="O105" s="197">
        <f t="shared" si="37"/>
        <v>0.75195822454308092</v>
      </c>
      <c r="P105" s="197">
        <f t="shared" si="37"/>
        <v>0.73469387755102034</v>
      </c>
      <c r="Q105" s="197">
        <f t="shared" si="37"/>
        <v>0.73812154696132593</v>
      </c>
      <c r="R105" s="197">
        <f t="shared" si="37"/>
        <v>0.75164835164835164</v>
      </c>
    </row>
    <row r="106" spans="1:18" x14ac:dyDescent="0.2">
      <c r="C106" s="16"/>
      <c r="F106" s="69"/>
      <c r="G106" s="68" t="s">
        <v>263</v>
      </c>
      <c r="H106" s="183">
        <f t="shared" ref="H106:R106" si="38">H95</f>
        <v>2011</v>
      </c>
      <c r="I106" s="183">
        <f t="shared" si="38"/>
        <v>2012</v>
      </c>
      <c r="J106" s="183">
        <f t="shared" si="38"/>
        <v>2013</v>
      </c>
      <c r="K106" s="183">
        <f t="shared" si="38"/>
        <v>2014</v>
      </c>
      <c r="L106" s="183">
        <f t="shared" si="38"/>
        <v>2015</v>
      </c>
      <c r="M106" s="183">
        <f t="shared" si="38"/>
        <v>2016</v>
      </c>
      <c r="N106" s="183">
        <f t="shared" si="38"/>
        <v>2017</v>
      </c>
      <c r="O106" s="183">
        <f t="shared" si="38"/>
        <v>2018</v>
      </c>
      <c r="P106" s="183">
        <f t="shared" si="38"/>
        <v>2019</v>
      </c>
      <c r="Q106" s="183">
        <f t="shared" si="38"/>
        <v>2020</v>
      </c>
      <c r="R106" s="183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189">
        <v>0.6</v>
      </c>
      <c r="F107" s="69"/>
      <c r="G107" s="176" t="s">
        <v>267</v>
      </c>
      <c r="H107" s="195">
        <f t="shared" ref="H107:R107" si="39">H17/H4</f>
        <v>0</v>
      </c>
      <c r="I107" s="195">
        <f t="shared" si="39"/>
        <v>0</v>
      </c>
      <c r="J107" s="195">
        <f t="shared" si="39"/>
        <v>0</v>
      </c>
      <c r="K107" s="195">
        <f t="shared" si="39"/>
        <v>0</v>
      </c>
      <c r="L107" s="195">
        <f t="shared" si="39"/>
        <v>0</v>
      </c>
      <c r="M107" s="195">
        <f t="shared" si="39"/>
        <v>0</v>
      </c>
      <c r="N107" s="195">
        <f t="shared" si="39"/>
        <v>0</v>
      </c>
      <c r="O107" s="195">
        <f t="shared" si="39"/>
        <v>0</v>
      </c>
      <c r="P107" s="195">
        <f t="shared" si="39"/>
        <v>0</v>
      </c>
      <c r="Q107" s="195">
        <f t="shared" si="39"/>
        <v>0</v>
      </c>
      <c r="R107" s="195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189">
        <v>0.4</v>
      </c>
      <c r="F108" s="69"/>
      <c r="G108" s="186" t="s">
        <v>271</v>
      </c>
      <c r="H108" s="195" t="e">
        <f t="shared" ref="H108:R108" si="40">H27/H17</f>
        <v>#DIV/0!</v>
      </c>
      <c r="I108" s="195" t="e">
        <f t="shared" si="40"/>
        <v>#DIV/0!</v>
      </c>
      <c r="J108" s="195" t="e">
        <f t="shared" si="40"/>
        <v>#DIV/0!</v>
      </c>
      <c r="K108" s="195" t="e">
        <f t="shared" si="40"/>
        <v>#DIV/0!</v>
      </c>
      <c r="L108" s="195" t="e">
        <f t="shared" si="40"/>
        <v>#DIV/0!</v>
      </c>
      <c r="M108" s="195" t="e">
        <f t="shared" si="40"/>
        <v>#DIV/0!</v>
      </c>
      <c r="N108" s="195" t="e">
        <f t="shared" si="40"/>
        <v>#DIV/0!</v>
      </c>
      <c r="O108" s="195" t="e">
        <f t="shared" si="40"/>
        <v>#DIV/0!</v>
      </c>
      <c r="P108" s="195" t="e">
        <f t="shared" si="40"/>
        <v>#DIV/0!</v>
      </c>
      <c r="Q108" s="195" t="e">
        <f t="shared" si="40"/>
        <v>#DIV/0!</v>
      </c>
      <c r="R108" s="195" t="e">
        <f t="shared" si="40"/>
        <v>#DIV/0!</v>
      </c>
    </row>
    <row r="109" spans="1:18" x14ac:dyDescent="0.2">
      <c r="C109" s="16"/>
      <c r="F109" s="69"/>
      <c r="G109" s="198" t="s">
        <v>272</v>
      </c>
      <c r="H109" s="183">
        <f t="shared" ref="H109:R109" si="41">H95</f>
        <v>2011</v>
      </c>
      <c r="I109" s="183">
        <f t="shared" si="41"/>
        <v>2012</v>
      </c>
      <c r="J109" s="183">
        <f t="shared" si="41"/>
        <v>2013</v>
      </c>
      <c r="K109" s="183">
        <f t="shared" si="41"/>
        <v>2014</v>
      </c>
      <c r="L109" s="183">
        <f t="shared" si="41"/>
        <v>2015</v>
      </c>
      <c r="M109" s="183">
        <f t="shared" si="41"/>
        <v>2016</v>
      </c>
      <c r="N109" s="183">
        <f t="shared" si="41"/>
        <v>2017</v>
      </c>
      <c r="O109" s="183">
        <f t="shared" si="41"/>
        <v>2018</v>
      </c>
      <c r="P109" s="183">
        <f t="shared" si="41"/>
        <v>2019</v>
      </c>
      <c r="Q109" s="183">
        <f t="shared" si="41"/>
        <v>2020</v>
      </c>
      <c r="R109" s="183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187"/>
      <c r="F110" s="69"/>
      <c r="G110" s="18" t="s">
        <v>276</v>
      </c>
      <c r="H110" s="199">
        <f t="shared" ref="H110:R110" si="42">H10/H4</f>
        <v>0.61099398985954279</v>
      </c>
      <c r="I110" s="199">
        <f t="shared" si="42"/>
        <v>0.59591519140415905</v>
      </c>
      <c r="J110" s="199">
        <f t="shared" si="42"/>
        <v>0.58648105941350248</v>
      </c>
      <c r="K110" s="199">
        <f t="shared" si="42"/>
        <v>0.61219980554941378</v>
      </c>
      <c r="L110" s="199">
        <f t="shared" si="42"/>
        <v>0.59529938493736778</v>
      </c>
      <c r="M110" s="199">
        <f t="shared" si="42"/>
        <v>0.60610547810817206</v>
      </c>
      <c r="N110" s="199">
        <f t="shared" si="42"/>
        <v>0.59434561134593644</v>
      </c>
      <c r="O110" s="199">
        <f t="shared" si="42"/>
        <v>0.58409491391859203</v>
      </c>
      <c r="P110" s="199">
        <f t="shared" si="42"/>
        <v>0.57637135889596347</v>
      </c>
      <c r="Q110" s="199">
        <f t="shared" si="42"/>
        <v>0.55413772748395518</v>
      </c>
      <c r="R110" s="199">
        <f t="shared" si="42"/>
        <v>0.54162300230611049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187"/>
      <c r="F111" s="69"/>
      <c r="G111" s="18" t="s">
        <v>280</v>
      </c>
      <c r="H111" s="199">
        <f t="shared" ref="H111:R111" si="43">-(H58)/H15</f>
        <v>0</v>
      </c>
      <c r="I111" s="199">
        <f t="shared" si="43"/>
        <v>0</v>
      </c>
      <c r="J111" s="199">
        <f t="shared" si="43"/>
        <v>9.9949460020215999E-2</v>
      </c>
      <c r="K111" s="199">
        <f t="shared" si="43"/>
        <v>6.2380310751002893E-2</v>
      </c>
      <c r="L111" s="199">
        <f t="shared" si="43"/>
        <v>2.6315319065263524E-2</v>
      </c>
      <c r="M111" s="199">
        <f t="shared" si="43"/>
        <v>0</v>
      </c>
      <c r="N111" s="199">
        <f t="shared" si="43"/>
        <v>0</v>
      </c>
      <c r="O111" s="199">
        <f t="shared" si="43"/>
        <v>0</v>
      </c>
      <c r="P111" s="199">
        <f t="shared" si="43"/>
        <v>0</v>
      </c>
      <c r="Q111" s="199">
        <f t="shared" si="43"/>
        <v>0</v>
      </c>
      <c r="R111" s="199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187"/>
      <c r="F112" s="69"/>
      <c r="G112" s="176" t="s">
        <v>284</v>
      </c>
      <c r="H112" s="192">
        <f t="shared" ref="H112:R112" si="44">H33/H4</f>
        <v>3.3279431816677478</v>
      </c>
      <c r="I112" s="192">
        <f t="shared" si="44"/>
        <v>3.281882520865135</v>
      </c>
      <c r="J112" s="192">
        <f t="shared" si="44"/>
        <v>3.1951813617458455</v>
      </c>
      <c r="K112" s="192">
        <f t="shared" si="44"/>
        <v>3.7746008765420509</v>
      </c>
      <c r="L112" s="192">
        <f t="shared" si="44"/>
        <v>3.7387036145784118</v>
      </c>
      <c r="M112" s="192">
        <f t="shared" si="44"/>
        <v>4.002300356432233</v>
      </c>
      <c r="N112" s="192">
        <f t="shared" si="44"/>
        <v>4.121572452660752</v>
      </c>
      <c r="O112" s="192">
        <f t="shared" si="44"/>
        <v>4.2075210024250707</v>
      </c>
      <c r="P112" s="192">
        <f t="shared" si="44"/>
        <v>4.2918182553798454</v>
      </c>
      <c r="Q112" s="192">
        <f t="shared" si="44"/>
        <v>4.278079903543035</v>
      </c>
      <c r="R112" s="192">
        <f t="shared" si="44"/>
        <v>4.3308723230388182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187"/>
      <c r="F113" s="69"/>
      <c r="G113" s="186" t="s">
        <v>288</v>
      </c>
      <c r="H113" s="192">
        <f t="shared" ref="H113:R113" si="45">H33/H15</f>
        <v>5.6640465038992636</v>
      </c>
      <c r="I113" s="192">
        <f t="shared" si="45"/>
        <v>5.7281393270090248</v>
      </c>
      <c r="J113" s="192">
        <f t="shared" si="45"/>
        <v>5.6420865031653991</v>
      </c>
      <c r="K113" s="192">
        <f t="shared" si="45"/>
        <v>6.3726506390670821</v>
      </c>
      <c r="L113" s="192">
        <f t="shared" si="45"/>
        <v>6.486862769633067</v>
      </c>
      <c r="M113" s="192">
        <f t="shared" si="45"/>
        <v>6.8216787707081323</v>
      </c>
      <c r="N113" s="192">
        <f t="shared" si="45"/>
        <v>7.165371498402461</v>
      </c>
      <c r="O113" s="192">
        <f t="shared" si="45"/>
        <v>7.4447041898939048</v>
      </c>
      <c r="P113" s="192">
        <f t="shared" si="45"/>
        <v>7.6973203081204593</v>
      </c>
      <c r="Q113" s="192">
        <f t="shared" si="45"/>
        <v>7.9823772544723282</v>
      </c>
      <c r="R113" s="192">
        <f t="shared" si="45"/>
        <v>8.2696260257807097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189">
        <v>0.5</v>
      </c>
      <c r="E114" s="189">
        <f>1/3</f>
        <v>0.33333333333333331</v>
      </c>
      <c r="F114" s="69"/>
      <c r="G114" s="18" t="s">
        <v>292</v>
      </c>
      <c r="H114" s="199">
        <f t="shared" ref="H114:R114" si="46">H27/H4</f>
        <v>0.54823005334992525</v>
      </c>
      <c r="I114" s="199">
        <f t="shared" si="46"/>
        <v>0.54964844808331514</v>
      </c>
      <c r="J114" s="199">
        <f t="shared" si="46"/>
        <v>0.50782493948080798</v>
      </c>
      <c r="K114" s="199">
        <f t="shared" si="46"/>
        <v>0.51720069905288635</v>
      </c>
      <c r="L114" s="199">
        <f t="shared" si="46"/>
        <v>0.50950263671860629</v>
      </c>
      <c r="M114" s="199">
        <f t="shared" si="46"/>
        <v>0.53853250791131935</v>
      </c>
      <c r="N114" s="199">
        <f t="shared" si="46"/>
        <v>0.54225463328533607</v>
      </c>
      <c r="O114" s="199">
        <f t="shared" si="46"/>
        <v>0.54759689728551575</v>
      </c>
      <c r="P114" s="199">
        <f t="shared" si="46"/>
        <v>0.5556770204468251</v>
      </c>
      <c r="Q114" s="199">
        <f t="shared" si="46"/>
        <v>0.54983295864156434</v>
      </c>
      <c r="R114" s="199">
        <f t="shared" si="46"/>
        <v>0.55357083584255218</v>
      </c>
    </row>
    <row r="115" spans="1:19" x14ac:dyDescent="0.2">
      <c r="A115" s="77"/>
      <c r="C115" s="77"/>
      <c r="D115" s="78"/>
      <c r="E115" s="79"/>
      <c r="F115" s="69"/>
      <c r="G115" s="174" t="s">
        <v>293</v>
      </c>
      <c r="H115" s="183">
        <f t="shared" ref="H115:R115" si="47">H109</f>
        <v>2011</v>
      </c>
      <c r="I115" s="183">
        <f t="shared" si="47"/>
        <v>2012</v>
      </c>
      <c r="J115" s="183">
        <f t="shared" si="47"/>
        <v>2013</v>
      </c>
      <c r="K115" s="183">
        <f t="shared" si="47"/>
        <v>2014</v>
      </c>
      <c r="L115" s="183">
        <f t="shared" si="47"/>
        <v>2015</v>
      </c>
      <c r="M115" s="183">
        <f t="shared" si="47"/>
        <v>2016</v>
      </c>
      <c r="N115" s="183">
        <f t="shared" si="47"/>
        <v>2017</v>
      </c>
      <c r="O115" s="183">
        <f t="shared" si="47"/>
        <v>2018</v>
      </c>
      <c r="P115" s="183">
        <f t="shared" si="47"/>
        <v>2019</v>
      </c>
      <c r="Q115" s="183">
        <f t="shared" si="47"/>
        <v>2020</v>
      </c>
      <c r="R115" s="183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189">
        <v>0.05</v>
      </c>
      <c r="G116" s="176" t="s">
        <v>297</v>
      </c>
      <c r="H116" s="191">
        <f t="shared" ref="H116:R116" si="48">H35/H33</f>
        <v>0.23576859813158466</v>
      </c>
      <c r="I116" s="191">
        <f t="shared" si="48"/>
        <v>0.24443514871819652</v>
      </c>
      <c r="J116" s="191">
        <f t="shared" si="48"/>
        <v>0.23477171599831403</v>
      </c>
      <c r="K116" s="191">
        <f t="shared" si="48"/>
        <v>0.21901765811337587</v>
      </c>
      <c r="L116" s="191">
        <f t="shared" si="48"/>
        <v>0.22067555927874419</v>
      </c>
      <c r="M116" s="191">
        <f t="shared" si="48"/>
        <v>0.2080833492134721</v>
      </c>
      <c r="N116" s="191">
        <f t="shared" si="48"/>
        <v>0.19346356123215627</v>
      </c>
      <c r="O116" s="191">
        <f t="shared" si="48"/>
        <v>0.19323671497584541</v>
      </c>
      <c r="P116" s="191">
        <f t="shared" si="48"/>
        <v>0.19408502772643252</v>
      </c>
      <c r="Q116" s="191">
        <f t="shared" si="48"/>
        <v>0.19449541284403671</v>
      </c>
      <c r="R116" s="191">
        <f t="shared" si="48"/>
        <v>0.19525547445255476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189">
        <v>0.95</v>
      </c>
      <c r="G117" s="18" t="s">
        <v>301</v>
      </c>
      <c r="H117" s="199">
        <f t="shared" ref="H117:R117" si="49">(H36+H34)/H33</f>
        <v>0.75311767197913992</v>
      </c>
      <c r="I117" s="199">
        <f t="shared" si="49"/>
        <v>0.75056730776975056</v>
      </c>
      <c r="J117" s="199">
        <f t="shared" si="49"/>
        <v>0.76296764959082275</v>
      </c>
      <c r="K117" s="199">
        <f t="shared" si="49"/>
        <v>0.77496216577089538</v>
      </c>
      <c r="L117" s="199">
        <f t="shared" si="49"/>
        <v>0.77464180493465962</v>
      </c>
      <c r="M117" s="199">
        <f t="shared" si="49"/>
        <v>0.78612296145121929</v>
      </c>
      <c r="N117" s="199">
        <f t="shared" si="49"/>
        <v>0.80090157776108184</v>
      </c>
      <c r="O117" s="199">
        <f t="shared" si="49"/>
        <v>0.80118914901523597</v>
      </c>
      <c r="P117" s="199">
        <f t="shared" si="49"/>
        <v>0.80036968576709799</v>
      </c>
      <c r="Q117" s="199">
        <f t="shared" si="49"/>
        <v>0.8</v>
      </c>
      <c r="R117" s="199">
        <f t="shared" si="49"/>
        <v>0.7992700729927007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189">
        <v>0.95</v>
      </c>
      <c r="G118" s="186" t="s">
        <v>305</v>
      </c>
      <c r="H118" s="191">
        <f t="shared" ref="H118:R118" si="50">H38/(H38+H41)</f>
        <v>0</v>
      </c>
      <c r="I118" s="191">
        <f t="shared" si="50"/>
        <v>0</v>
      </c>
      <c r="J118" s="191">
        <f t="shared" si="50"/>
        <v>0</v>
      </c>
      <c r="K118" s="191">
        <f t="shared" si="50"/>
        <v>0</v>
      </c>
      <c r="L118" s="191">
        <f t="shared" si="50"/>
        <v>0</v>
      </c>
      <c r="M118" s="191">
        <f t="shared" si="50"/>
        <v>0</v>
      </c>
      <c r="N118" s="191">
        <f t="shared" si="50"/>
        <v>0</v>
      </c>
      <c r="O118" s="191">
        <f t="shared" si="50"/>
        <v>0</v>
      </c>
      <c r="P118" s="191">
        <f t="shared" si="50"/>
        <v>0</v>
      </c>
      <c r="Q118" s="191">
        <f t="shared" si="50"/>
        <v>0</v>
      </c>
      <c r="R118" s="191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174" t="s">
        <v>306</v>
      </c>
      <c r="H119" s="183">
        <f>H115</f>
        <v>2011</v>
      </c>
      <c r="I119" s="183">
        <f t="shared" ref="I119:R119" si="51">I115</f>
        <v>2012</v>
      </c>
      <c r="J119" s="183">
        <f t="shared" si="51"/>
        <v>2013</v>
      </c>
      <c r="K119" s="183">
        <f t="shared" si="51"/>
        <v>2014</v>
      </c>
      <c r="L119" s="183">
        <f t="shared" si="51"/>
        <v>2015</v>
      </c>
      <c r="M119" s="183">
        <f t="shared" si="51"/>
        <v>2016</v>
      </c>
      <c r="N119" s="183">
        <f t="shared" si="51"/>
        <v>2017</v>
      </c>
      <c r="O119" s="183">
        <f t="shared" si="51"/>
        <v>2018</v>
      </c>
      <c r="P119" s="183">
        <f t="shared" si="51"/>
        <v>2019</v>
      </c>
      <c r="Q119" s="183">
        <f t="shared" si="51"/>
        <v>2020</v>
      </c>
      <c r="R119" s="183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200">
        <v>0.5</v>
      </c>
      <c r="E120" s="201" t="s">
        <v>310</v>
      </c>
      <c r="F120" s="4"/>
      <c r="G120" s="176" t="s">
        <v>311</v>
      </c>
      <c r="H120" s="192" t="str">
        <f t="shared" ref="H120:R120" si="52">IF(H116&lt;$D$120,$E$120,H35/H4)</f>
        <v>N/A</v>
      </c>
      <c r="I120" s="192" t="str">
        <f t="shared" si="52"/>
        <v>N/A</v>
      </c>
      <c r="J120" s="192" t="str">
        <f t="shared" si="52"/>
        <v>N/A</v>
      </c>
      <c r="K120" s="192" t="str">
        <f t="shared" si="52"/>
        <v>N/A</v>
      </c>
      <c r="L120" s="192" t="str">
        <f t="shared" si="52"/>
        <v>N/A</v>
      </c>
      <c r="M120" s="192" t="str">
        <f t="shared" si="52"/>
        <v>N/A</v>
      </c>
      <c r="N120" s="192" t="str">
        <f t="shared" si="52"/>
        <v>N/A</v>
      </c>
      <c r="O120" s="192" t="str">
        <f t="shared" si="52"/>
        <v>N/A</v>
      </c>
      <c r="P120" s="192" t="str">
        <f t="shared" si="52"/>
        <v>N/A</v>
      </c>
      <c r="Q120" s="192" t="str">
        <f t="shared" si="52"/>
        <v>N/A</v>
      </c>
      <c r="R120" s="192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200">
        <v>0.5</v>
      </c>
      <c r="E121" s="201" t="s">
        <v>310</v>
      </c>
      <c r="F121" s="4"/>
      <c r="G121" s="18" t="s">
        <v>315</v>
      </c>
      <c r="H121" s="192" t="str">
        <f t="shared" ref="H121:R121" si="53">IF(H116&lt;$D$121,$E$121,H35/H15)</f>
        <v>N/A</v>
      </c>
      <c r="I121" s="192" t="str">
        <f t="shared" si="53"/>
        <v>N/A</v>
      </c>
      <c r="J121" s="192" t="str">
        <f t="shared" si="53"/>
        <v>N/A</v>
      </c>
      <c r="K121" s="192" t="str">
        <f t="shared" si="53"/>
        <v>N/A</v>
      </c>
      <c r="L121" s="192" t="str">
        <f t="shared" si="53"/>
        <v>N/A</v>
      </c>
      <c r="M121" s="192" t="str">
        <f t="shared" si="53"/>
        <v>N/A</v>
      </c>
      <c r="N121" s="192" t="str">
        <f t="shared" si="53"/>
        <v>N/A</v>
      </c>
      <c r="O121" s="192" t="str">
        <f t="shared" si="53"/>
        <v>N/A</v>
      </c>
      <c r="P121" s="192" t="str">
        <f t="shared" si="53"/>
        <v>N/A</v>
      </c>
      <c r="Q121" s="192" t="str">
        <f t="shared" si="53"/>
        <v>N/A</v>
      </c>
      <c r="R121" s="192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200">
        <v>0.5</v>
      </c>
      <c r="E122" s="201" t="s">
        <v>310</v>
      </c>
      <c r="F122" s="4"/>
      <c r="G122" s="176" t="s">
        <v>318</v>
      </c>
      <c r="H122" s="199" t="str">
        <f t="shared" ref="H122:R122" si="54">IF(H116&lt;$D$122,$E$122,H46/H33)</f>
        <v>N/A</v>
      </c>
      <c r="I122" s="199" t="str">
        <f t="shared" si="54"/>
        <v>N/A</v>
      </c>
      <c r="J122" s="199" t="str">
        <f t="shared" si="54"/>
        <v>N/A</v>
      </c>
      <c r="K122" s="199" t="str">
        <f t="shared" si="54"/>
        <v>N/A</v>
      </c>
      <c r="L122" s="199" t="str">
        <f t="shared" si="54"/>
        <v>N/A</v>
      </c>
      <c r="M122" s="199" t="str">
        <f t="shared" si="54"/>
        <v>N/A</v>
      </c>
      <c r="N122" s="199" t="str">
        <f t="shared" si="54"/>
        <v>N/A</v>
      </c>
      <c r="O122" s="199" t="str">
        <f t="shared" si="54"/>
        <v>N/A</v>
      </c>
      <c r="P122" s="199" t="str">
        <f t="shared" si="54"/>
        <v>N/A</v>
      </c>
      <c r="Q122" s="199" t="str">
        <f t="shared" si="54"/>
        <v>N/A</v>
      </c>
      <c r="R122" s="199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200">
        <v>0.5</v>
      </c>
      <c r="E123" s="201" t="s">
        <v>310</v>
      </c>
      <c r="F123" s="4"/>
      <c r="G123" s="18" t="s">
        <v>322</v>
      </c>
      <c r="H123" s="199" t="str">
        <f t="shared" ref="H123:R123" si="55">IF(H116&lt;$D$122,$E$123,H51/H33)</f>
        <v>N/A</v>
      </c>
      <c r="I123" s="199" t="str">
        <f t="shared" si="55"/>
        <v>N/A</v>
      </c>
      <c r="J123" s="199" t="str">
        <f t="shared" si="55"/>
        <v>N/A</v>
      </c>
      <c r="K123" s="199" t="str">
        <f t="shared" si="55"/>
        <v>N/A</v>
      </c>
      <c r="L123" s="199" t="str">
        <f t="shared" si="55"/>
        <v>N/A</v>
      </c>
      <c r="M123" s="199" t="str">
        <f t="shared" si="55"/>
        <v>N/A</v>
      </c>
      <c r="N123" s="199" t="str">
        <f t="shared" si="55"/>
        <v>N/A</v>
      </c>
      <c r="O123" s="199" t="str">
        <f t="shared" si="55"/>
        <v>N/A</v>
      </c>
      <c r="P123" s="199" t="str">
        <f t="shared" si="55"/>
        <v>N/A</v>
      </c>
      <c r="Q123" s="199" t="str">
        <f t="shared" si="55"/>
        <v>N/A</v>
      </c>
      <c r="R123" s="199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200">
        <v>0.5</v>
      </c>
      <c r="E124" s="201" t="s">
        <v>310</v>
      </c>
      <c r="F124" s="4"/>
      <c r="G124" s="18" t="s">
        <v>326</v>
      </c>
      <c r="H124" s="199" t="str">
        <f t="shared" ref="H124:R124" si="56">IF(H116&lt;$D$124,$E$124,H51/H4)</f>
        <v>N/A</v>
      </c>
      <c r="I124" s="199" t="str">
        <f t="shared" si="56"/>
        <v>N/A</v>
      </c>
      <c r="J124" s="199" t="str">
        <f t="shared" si="56"/>
        <v>N/A</v>
      </c>
      <c r="K124" s="199" t="str">
        <f t="shared" si="56"/>
        <v>N/A</v>
      </c>
      <c r="L124" s="199" t="str">
        <f t="shared" si="56"/>
        <v>N/A</v>
      </c>
      <c r="M124" s="199" t="str">
        <f t="shared" si="56"/>
        <v>N/A</v>
      </c>
      <c r="N124" s="199" t="str">
        <f t="shared" si="56"/>
        <v>N/A</v>
      </c>
      <c r="O124" s="199" t="str">
        <f t="shared" si="56"/>
        <v>N/A</v>
      </c>
      <c r="P124" s="199" t="str">
        <f t="shared" si="56"/>
        <v>N/A</v>
      </c>
      <c r="Q124" s="199" t="str">
        <f t="shared" si="56"/>
        <v>N/A</v>
      </c>
      <c r="R124" s="199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200">
        <v>0.5</v>
      </c>
      <c r="E125" s="201" t="s">
        <v>310</v>
      </c>
      <c r="F125" s="4"/>
      <c r="G125" s="186" t="s">
        <v>330</v>
      </c>
      <c r="H125" s="199" t="str">
        <f t="shared" ref="H125:R125" si="57">IF(H116&lt;$D$125,$E$125,H51/H27)</f>
        <v>N/A</v>
      </c>
      <c r="I125" s="199" t="str">
        <f t="shared" si="57"/>
        <v>N/A</v>
      </c>
      <c r="J125" s="199" t="str">
        <f t="shared" si="57"/>
        <v>N/A</v>
      </c>
      <c r="K125" s="199" t="str">
        <f t="shared" si="57"/>
        <v>N/A</v>
      </c>
      <c r="L125" s="199" t="str">
        <f t="shared" si="57"/>
        <v>N/A</v>
      </c>
      <c r="M125" s="199" t="str">
        <f t="shared" si="57"/>
        <v>N/A</v>
      </c>
      <c r="N125" s="199" t="str">
        <f t="shared" si="57"/>
        <v>N/A</v>
      </c>
      <c r="O125" s="199" t="str">
        <f t="shared" si="57"/>
        <v>N/A</v>
      </c>
      <c r="P125" s="199" t="str">
        <f t="shared" si="57"/>
        <v>N/A</v>
      </c>
      <c r="Q125" s="199" t="str">
        <f t="shared" si="57"/>
        <v>N/A</v>
      </c>
      <c r="R125" s="199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183">
        <f>H119</f>
        <v>2011</v>
      </c>
      <c r="I127" s="183">
        <f t="shared" ref="I127:R127" si="58">I119</f>
        <v>2012</v>
      </c>
      <c r="J127" s="183">
        <f t="shared" si="58"/>
        <v>2013</v>
      </c>
      <c r="K127" s="183">
        <f t="shared" si="58"/>
        <v>2014</v>
      </c>
      <c r="L127" s="183">
        <f t="shared" si="58"/>
        <v>2015</v>
      </c>
      <c r="M127" s="183">
        <f t="shared" si="58"/>
        <v>2016</v>
      </c>
      <c r="N127" s="183">
        <f t="shared" si="58"/>
        <v>2017</v>
      </c>
      <c r="O127" s="183">
        <f t="shared" si="58"/>
        <v>2018</v>
      </c>
      <c r="P127" s="183">
        <f t="shared" si="58"/>
        <v>2019</v>
      </c>
      <c r="Q127" s="183">
        <f t="shared" si="58"/>
        <v>2020</v>
      </c>
      <c r="R127" s="183">
        <f t="shared" si="58"/>
        <v>2021</v>
      </c>
    </row>
    <row r="128" spans="1:19" x14ac:dyDescent="0.2">
      <c r="G128" s="202" t="s">
        <v>331</v>
      </c>
      <c r="H128" s="203">
        <f t="shared" ref="H128:R128" si="59">H33</f>
        <v>2011.116</v>
      </c>
      <c r="I128" s="203">
        <f t="shared" si="59"/>
        <v>1986.576</v>
      </c>
      <c r="J128" s="203">
        <f t="shared" si="59"/>
        <v>2121.0860000000002</v>
      </c>
      <c r="K128" s="203">
        <f t="shared" si="59"/>
        <v>2492.4520000000002</v>
      </c>
      <c r="L128" s="203">
        <f t="shared" si="59"/>
        <v>2540.2359999999999</v>
      </c>
      <c r="M128" s="203">
        <f t="shared" si="59"/>
        <v>2602.8319999999999</v>
      </c>
      <c r="N128" s="203">
        <f t="shared" si="59"/>
        <v>2662</v>
      </c>
      <c r="O128" s="203">
        <f t="shared" si="59"/>
        <v>2691</v>
      </c>
      <c r="P128" s="203">
        <f t="shared" si="59"/>
        <v>2705</v>
      </c>
      <c r="Q128" s="203">
        <f t="shared" si="59"/>
        <v>2725</v>
      </c>
      <c r="R128" s="203">
        <f t="shared" si="59"/>
        <v>2740</v>
      </c>
    </row>
    <row r="129" spans="3:19" x14ac:dyDescent="0.2">
      <c r="G129" s="202" t="s">
        <v>332</v>
      </c>
      <c r="H129" s="203">
        <f t="shared" ref="H129:R130" si="60">H35</f>
        <v>474.15800000000002</v>
      </c>
      <c r="I129" s="203">
        <f t="shared" si="60"/>
        <v>485.589</v>
      </c>
      <c r="J129" s="203">
        <f t="shared" si="60"/>
        <v>497.971</v>
      </c>
      <c r="K129" s="203">
        <f t="shared" si="60"/>
        <v>545.89099999999996</v>
      </c>
      <c r="L129" s="203">
        <f t="shared" si="60"/>
        <v>560.56799999999998</v>
      </c>
      <c r="M129" s="203">
        <f t="shared" si="60"/>
        <v>541.60599999999999</v>
      </c>
      <c r="N129" s="203">
        <f t="shared" si="60"/>
        <v>515</v>
      </c>
      <c r="O129" s="203">
        <f t="shared" si="60"/>
        <v>520</v>
      </c>
      <c r="P129" s="203">
        <f t="shared" si="60"/>
        <v>525</v>
      </c>
      <c r="Q129" s="203">
        <f t="shared" si="60"/>
        <v>530</v>
      </c>
      <c r="R129" s="203">
        <f t="shared" si="60"/>
        <v>535</v>
      </c>
    </row>
    <row r="130" spans="3:19" x14ac:dyDescent="0.2">
      <c r="G130" s="202" t="s">
        <v>333</v>
      </c>
      <c r="H130" s="203">
        <f t="shared" si="60"/>
        <v>1514.607</v>
      </c>
      <c r="I130" s="203">
        <f t="shared" si="60"/>
        <v>1491.059</v>
      </c>
      <c r="J130" s="203">
        <f t="shared" si="60"/>
        <v>1618.32</v>
      </c>
      <c r="K130" s="203">
        <f t="shared" si="60"/>
        <v>1931.556</v>
      </c>
      <c r="L130" s="203">
        <f t="shared" si="60"/>
        <v>1967.7729999999999</v>
      </c>
      <c r="M130" s="203">
        <f t="shared" si="60"/>
        <v>2046.146</v>
      </c>
      <c r="N130" s="203">
        <f t="shared" si="60"/>
        <v>2132</v>
      </c>
      <c r="O130" s="203">
        <f t="shared" si="60"/>
        <v>2156</v>
      </c>
      <c r="P130" s="203">
        <f t="shared" si="60"/>
        <v>2165</v>
      </c>
      <c r="Q130" s="203">
        <f t="shared" si="60"/>
        <v>2180</v>
      </c>
      <c r="R130" s="203">
        <f t="shared" si="60"/>
        <v>2190</v>
      </c>
    </row>
    <row r="131" spans="3:19" x14ac:dyDescent="0.2">
      <c r="G131" s="202" t="s">
        <v>334</v>
      </c>
      <c r="H131" s="203">
        <f t="shared" ref="H131:R131" si="61">H38+H41</f>
        <v>-2006.7040000000002</v>
      </c>
      <c r="I131" s="203">
        <f t="shared" si="61"/>
        <v>-1985.4930000000002</v>
      </c>
      <c r="J131" s="203">
        <f t="shared" si="61"/>
        <v>-2116.683</v>
      </c>
      <c r="K131" s="203">
        <f t="shared" si="61"/>
        <v>-2488.0460000000003</v>
      </c>
      <c r="L131" s="203">
        <f t="shared" si="61"/>
        <v>-2536.8809999999999</v>
      </c>
      <c r="M131" s="203">
        <f t="shared" si="61"/>
        <v>-2599.7999999999997</v>
      </c>
      <c r="N131" s="203">
        <f t="shared" si="61"/>
        <v>-2662.0439999999999</v>
      </c>
      <c r="O131" s="203">
        <f t="shared" si="61"/>
        <v>-2691.0439999999999</v>
      </c>
      <c r="P131" s="203">
        <f t="shared" si="61"/>
        <v>-2705.0439999999999</v>
      </c>
      <c r="Q131" s="203">
        <f t="shared" si="61"/>
        <v>-2725.0439999999999</v>
      </c>
      <c r="R131" s="203">
        <f t="shared" si="61"/>
        <v>-2740.0439999999999</v>
      </c>
    </row>
    <row r="132" spans="3:19" x14ac:dyDescent="0.2">
      <c r="G132" s="202" t="s">
        <v>335</v>
      </c>
      <c r="H132" s="203">
        <f t="shared" ref="H132:R132" si="62">H41</f>
        <v>-2006.7040000000002</v>
      </c>
      <c r="I132" s="203">
        <f t="shared" si="62"/>
        <v>-1985.4930000000002</v>
      </c>
      <c r="J132" s="203">
        <f t="shared" si="62"/>
        <v>-2116.683</v>
      </c>
      <c r="K132" s="203">
        <f t="shared" si="62"/>
        <v>-2488.0460000000003</v>
      </c>
      <c r="L132" s="203">
        <f t="shared" si="62"/>
        <v>-2536.8809999999999</v>
      </c>
      <c r="M132" s="203">
        <f t="shared" si="62"/>
        <v>-2599.7999999999997</v>
      </c>
      <c r="N132" s="203">
        <f t="shared" si="62"/>
        <v>-2662.0439999999999</v>
      </c>
      <c r="O132" s="203">
        <f t="shared" si="62"/>
        <v>-2691.0439999999999</v>
      </c>
      <c r="P132" s="203">
        <f t="shared" si="62"/>
        <v>-2705.0439999999999</v>
      </c>
      <c r="Q132" s="203">
        <f t="shared" si="62"/>
        <v>-2725.0439999999999</v>
      </c>
      <c r="R132" s="203">
        <f t="shared" si="62"/>
        <v>-2740.0439999999999</v>
      </c>
    </row>
    <row r="133" spans="3:19" x14ac:dyDescent="0.2">
      <c r="G133" s="202" t="s">
        <v>336</v>
      </c>
      <c r="H133" s="203">
        <f t="shared" ref="H133:R133" si="63">H38</f>
        <v>0</v>
      </c>
      <c r="I133" s="203">
        <f t="shared" si="63"/>
        <v>0</v>
      </c>
      <c r="J133" s="203">
        <f t="shared" si="63"/>
        <v>0</v>
      </c>
      <c r="K133" s="203">
        <f t="shared" si="63"/>
        <v>0</v>
      </c>
      <c r="L133" s="203">
        <f t="shared" si="63"/>
        <v>0</v>
      </c>
      <c r="M133" s="203">
        <f t="shared" si="63"/>
        <v>0</v>
      </c>
      <c r="N133" s="203">
        <f t="shared" si="63"/>
        <v>0</v>
      </c>
      <c r="O133" s="203">
        <f t="shared" si="63"/>
        <v>0</v>
      </c>
      <c r="P133" s="203">
        <f t="shared" si="63"/>
        <v>0</v>
      </c>
      <c r="Q133" s="203">
        <f t="shared" si="63"/>
        <v>0</v>
      </c>
      <c r="R133" s="203">
        <f t="shared" si="63"/>
        <v>0</v>
      </c>
    </row>
    <row r="134" spans="3:19" x14ac:dyDescent="0.2">
      <c r="G134" s="202" t="s">
        <v>337</v>
      </c>
      <c r="H134" s="203">
        <f t="shared" ref="H134:R134" si="64">H46</f>
        <v>4.4119999999998072</v>
      </c>
      <c r="I134" s="203">
        <f t="shared" si="64"/>
        <v>1.0829999999998563</v>
      </c>
      <c r="J134" s="203">
        <f t="shared" si="64"/>
        <v>4.4030000000002474</v>
      </c>
      <c r="K134" s="203">
        <f t="shared" si="64"/>
        <v>4.4059999999999491</v>
      </c>
      <c r="L134" s="203">
        <f t="shared" si="64"/>
        <v>3.3550000000000182</v>
      </c>
      <c r="M134" s="203">
        <f t="shared" si="64"/>
        <v>3.0320000000001528</v>
      </c>
      <c r="N134" s="203">
        <f t="shared" si="64"/>
        <v>-4.3999999999869033E-2</v>
      </c>
      <c r="O134" s="203">
        <f t="shared" si="64"/>
        <v>-4.3999999999869033E-2</v>
      </c>
      <c r="P134" s="203">
        <f t="shared" si="64"/>
        <v>-4.3999999999869033E-2</v>
      </c>
      <c r="Q134" s="203">
        <f t="shared" si="64"/>
        <v>-4.3999999999869033E-2</v>
      </c>
      <c r="R134" s="203">
        <f t="shared" si="64"/>
        <v>-4.3999999999869033E-2</v>
      </c>
    </row>
    <row r="135" spans="3:19" x14ac:dyDescent="0.2">
      <c r="G135" s="202" t="s">
        <v>338</v>
      </c>
      <c r="H135" s="203">
        <f t="shared" ref="H135:R135" si="65">H51</f>
        <v>5.4799999999998068</v>
      </c>
      <c r="I135" s="203">
        <f t="shared" si="65"/>
        <v>1.4099999999998563</v>
      </c>
      <c r="J135" s="203">
        <f t="shared" si="65"/>
        <v>4.4030000000002474</v>
      </c>
      <c r="K135" s="203">
        <f t="shared" si="65"/>
        <v>4.4059999999999491</v>
      </c>
      <c r="L135" s="203">
        <f t="shared" si="65"/>
        <v>4.6680000000000179</v>
      </c>
      <c r="M135" s="203">
        <f t="shared" si="65"/>
        <v>4.0480000000001528</v>
      </c>
      <c r="N135" s="203">
        <f t="shared" si="65"/>
        <v>-4.3999999999869033E-2</v>
      </c>
      <c r="O135" s="203">
        <f t="shared" si="65"/>
        <v>-4.3999999999869033E-2</v>
      </c>
      <c r="P135" s="203">
        <f t="shared" si="65"/>
        <v>-4.3999999999869033E-2</v>
      </c>
      <c r="Q135" s="203">
        <f t="shared" si="65"/>
        <v>-4.3999999999869033E-2</v>
      </c>
      <c r="R135" s="203">
        <f t="shared" si="65"/>
        <v>-4.3999999999869033E-2</v>
      </c>
    </row>
    <row r="136" spans="3:19" x14ac:dyDescent="0.2">
      <c r="G136" s="202" t="s">
        <v>339</v>
      </c>
      <c r="H136" s="203">
        <f t="shared" ref="H136:R137" si="66">H4</f>
        <v>604.31200000000001</v>
      </c>
      <c r="I136" s="203">
        <f t="shared" si="66"/>
        <v>605.31600000000003</v>
      </c>
      <c r="J136" s="203">
        <f t="shared" si="66"/>
        <v>663.83899999999994</v>
      </c>
      <c r="K136" s="203">
        <f t="shared" si="66"/>
        <v>660.322</v>
      </c>
      <c r="L136" s="203">
        <f t="shared" si="66"/>
        <v>679.44299999999998</v>
      </c>
      <c r="M136" s="203">
        <f t="shared" si="66"/>
        <v>650.33400000000006</v>
      </c>
      <c r="N136" s="203">
        <f t="shared" si="66"/>
        <v>645.87</v>
      </c>
      <c r="O136" s="203">
        <f t="shared" si="66"/>
        <v>639.56899999999996</v>
      </c>
      <c r="P136" s="203">
        <f t="shared" si="66"/>
        <v>630.26900000000001</v>
      </c>
      <c r="Q136" s="203">
        <f t="shared" si="66"/>
        <v>636.96800000000007</v>
      </c>
      <c r="R136" s="203">
        <f t="shared" si="66"/>
        <v>632.66700000000003</v>
      </c>
    </row>
    <row r="137" spans="3:19" x14ac:dyDescent="0.2">
      <c r="G137" s="202" t="s">
        <v>340</v>
      </c>
      <c r="H137" s="203">
        <f t="shared" si="66"/>
        <v>235.08100000000002</v>
      </c>
      <c r="I137" s="203">
        <f t="shared" si="66"/>
        <v>244.59899999999999</v>
      </c>
      <c r="J137" s="203">
        <f t="shared" si="66"/>
        <v>274.51</v>
      </c>
      <c r="K137" s="203">
        <f t="shared" si="66"/>
        <v>256.07299999999998</v>
      </c>
      <c r="L137" s="203">
        <f t="shared" si="66"/>
        <v>274.971</v>
      </c>
      <c r="M137" s="203">
        <f t="shared" si="66"/>
        <v>256.16300000000001</v>
      </c>
      <c r="N137" s="203">
        <f t="shared" si="66"/>
        <v>262</v>
      </c>
      <c r="O137" s="203">
        <f t="shared" si="66"/>
        <v>266</v>
      </c>
      <c r="P137" s="203">
        <f t="shared" si="66"/>
        <v>267</v>
      </c>
      <c r="Q137" s="203">
        <f t="shared" si="66"/>
        <v>284</v>
      </c>
      <c r="R137" s="203">
        <f t="shared" si="66"/>
        <v>290</v>
      </c>
    </row>
    <row r="138" spans="3:19" x14ac:dyDescent="0.2">
      <c r="G138" s="202" t="s">
        <v>341</v>
      </c>
      <c r="H138" s="203">
        <f t="shared" ref="H138:R138" si="67">H10</f>
        <v>369.23099999999999</v>
      </c>
      <c r="I138" s="203">
        <f t="shared" si="67"/>
        <v>360.71699999999998</v>
      </c>
      <c r="J138" s="203">
        <f t="shared" si="67"/>
        <v>389.32900000000001</v>
      </c>
      <c r="K138" s="203">
        <f t="shared" si="67"/>
        <v>404.24900000000002</v>
      </c>
      <c r="L138" s="203">
        <f t="shared" si="67"/>
        <v>404.47199999999998</v>
      </c>
      <c r="M138" s="203">
        <f t="shared" si="67"/>
        <v>394.17099999999999</v>
      </c>
      <c r="N138" s="203">
        <f t="shared" si="67"/>
        <v>383.87</v>
      </c>
      <c r="O138" s="203">
        <f t="shared" si="67"/>
        <v>373.56899999999996</v>
      </c>
      <c r="P138" s="203">
        <f t="shared" si="67"/>
        <v>363.26900000000001</v>
      </c>
      <c r="Q138" s="203">
        <f t="shared" si="67"/>
        <v>352.96800000000002</v>
      </c>
      <c r="R138" s="203">
        <f t="shared" si="67"/>
        <v>342.66700000000003</v>
      </c>
    </row>
    <row r="139" spans="3:19" x14ac:dyDescent="0.2">
      <c r="G139" s="202" t="s">
        <v>342</v>
      </c>
      <c r="H139" s="203">
        <f t="shared" ref="H139:R140" si="68">H19</f>
        <v>273.01100000000002</v>
      </c>
      <c r="I139" s="203">
        <f t="shared" si="68"/>
        <v>272.60500000000002</v>
      </c>
      <c r="J139" s="203">
        <f t="shared" si="68"/>
        <v>326.72500000000002</v>
      </c>
      <c r="K139" s="203">
        <f t="shared" si="68"/>
        <v>318.80399999999997</v>
      </c>
      <c r="L139" s="203">
        <f t="shared" si="68"/>
        <v>333.26600000000002</v>
      </c>
      <c r="M139" s="203">
        <f t="shared" si="68"/>
        <v>300.108</v>
      </c>
      <c r="N139" s="203">
        <f t="shared" si="68"/>
        <v>296</v>
      </c>
      <c r="O139" s="203">
        <f t="shared" si="68"/>
        <v>289</v>
      </c>
      <c r="P139" s="203">
        <f t="shared" si="68"/>
        <v>280</v>
      </c>
      <c r="Q139" s="203">
        <f t="shared" si="68"/>
        <v>287</v>
      </c>
      <c r="R139" s="203">
        <f t="shared" si="68"/>
        <v>282</v>
      </c>
    </row>
    <row r="140" spans="3:19" x14ac:dyDescent="0.2">
      <c r="G140" s="202" t="s">
        <v>343</v>
      </c>
      <c r="H140" s="203">
        <f t="shared" si="68"/>
        <v>273.01100000000002</v>
      </c>
      <c r="I140" s="203">
        <f t="shared" si="68"/>
        <v>272.60500000000002</v>
      </c>
      <c r="J140" s="203">
        <f t="shared" si="68"/>
        <v>326.72500000000002</v>
      </c>
      <c r="K140" s="203">
        <f t="shared" si="68"/>
        <v>318.80399999999997</v>
      </c>
      <c r="L140" s="203">
        <f t="shared" si="68"/>
        <v>333.26600000000002</v>
      </c>
      <c r="M140" s="203">
        <f t="shared" si="68"/>
        <v>300.108</v>
      </c>
      <c r="N140" s="203">
        <f t="shared" si="68"/>
        <v>296</v>
      </c>
      <c r="O140" s="203">
        <f t="shared" si="68"/>
        <v>289</v>
      </c>
      <c r="P140" s="203">
        <f t="shared" si="68"/>
        <v>280</v>
      </c>
      <c r="Q140" s="203">
        <f t="shared" si="68"/>
        <v>287</v>
      </c>
      <c r="R140" s="203">
        <f t="shared" si="68"/>
        <v>282</v>
      </c>
    </row>
    <row r="141" spans="3:19" x14ac:dyDescent="0.2">
      <c r="G141" s="202" t="s">
        <v>344</v>
      </c>
      <c r="H141" s="203">
        <f t="shared" ref="H141:R141" si="69">H24</f>
        <v>0</v>
      </c>
      <c r="I141" s="203">
        <f t="shared" si="69"/>
        <v>0</v>
      </c>
      <c r="J141" s="203">
        <f t="shared" si="69"/>
        <v>0</v>
      </c>
      <c r="K141" s="203">
        <f t="shared" si="69"/>
        <v>0</v>
      </c>
      <c r="L141" s="203">
        <f t="shared" si="69"/>
        <v>0</v>
      </c>
      <c r="M141" s="203">
        <f t="shared" si="69"/>
        <v>0</v>
      </c>
      <c r="N141" s="203">
        <f t="shared" si="69"/>
        <v>0</v>
      </c>
      <c r="O141" s="203">
        <f t="shared" si="69"/>
        <v>0</v>
      </c>
      <c r="P141" s="203">
        <f t="shared" si="69"/>
        <v>0</v>
      </c>
      <c r="Q141" s="203">
        <f t="shared" si="69"/>
        <v>0</v>
      </c>
      <c r="R141" s="203">
        <f t="shared" si="69"/>
        <v>0</v>
      </c>
    </row>
    <row r="142" spans="3:19" x14ac:dyDescent="0.2">
      <c r="G142" s="202" t="s">
        <v>345</v>
      </c>
      <c r="H142" s="203">
        <f t="shared" ref="H142:R142" si="70">H27</f>
        <v>331.30200000000002</v>
      </c>
      <c r="I142" s="203">
        <f t="shared" si="70"/>
        <v>332.71100000000001</v>
      </c>
      <c r="J142" s="203">
        <f t="shared" si="70"/>
        <v>337.11400000000003</v>
      </c>
      <c r="K142" s="203">
        <f t="shared" si="70"/>
        <v>341.51900000000001</v>
      </c>
      <c r="L142" s="203">
        <f t="shared" si="70"/>
        <v>346.178</v>
      </c>
      <c r="M142" s="203">
        <f t="shared" si="70"/>
        <v>350.226</v>
      </c>
      <c r="N142" s="203">
        <f t="shared" si="70"/>
        <v>350.226</v>
      </c>
      <c r="O142" s="203">
        <f t="shared" si="70"/>
        <v>350.226</v>
      </c>
      <c r="P142" s="203">
        <f t="shared" si="70"/>
        <v>350.226</v>
      </c>
      <c r="Q142" s="203">
        <f t="shared" si="70"/>
        <v>350.226</v>
      </c>
      <c r="R142" s="203">
        <f t="shared" si="70"/>
        <v>350.226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811" priority="51" stopIfTrue="1" operator="greaterThan">
      <formula>$E$116</formula>
    </cfRule>
    <cfRule type="cellIs" dxfId="810" priority="52" stopIfTrue="1" operator="lessThanOrEqual">
      <formula>$E$116</formula>
    </cfRule>
  </conditionalFormatting>
  <conditionalFormatting sqref="H118:Q118">
    <cfRule type="cellIs" dxfId="809" priority="49" stopIfTrue="1" operator="lessThanOrEqual">
      <formula>$E$118</formula>
    </cfRule>
    <cfRule type="cellIs" dxfId="808" priority="50" stopIfTrue="1" operator="greaterThan">
      <formula>$E$118</formula>
    </cfRule>
  </conditionalFormatting>
  <conditionalFormatting sqref="H99:Q99">
    <cfRule type="cellIs" dxfId="807" priority="47" operator="greaterThan">
      <formula>$E$99</formula>
    </cfRule>
    <cfRule type="cellIs" dxfId="806" priority="48" operator="lessThanOrEqual">
      <formula>$E$99</formula>
    </cfRule>
  </conditionalFormatting>
  <conditionalFormatting sqref="H102:Q102">
    <cfRule type="cellIs" dxfId="805" priority="45" stopIfTrue="1" operator="greaterThanOrEqual">
      <formula>$E$102</formula>
    </cfRule>
    <cfRule type="cellIs" dxfId="804" priority="46" stopIfTrue="1" operator="lessThan">
      <formula>$E$102</formula>
    </cfRule>
  </conditionalFormatting>
  <conditionalFormatting sqref="H104:Q104">
    <cfRule type="cellIs" dxfId="803" priority="43" stopIfTrue="1" operator="lessThan">
      <formula>$E$104</formula>
    </cfRule>
    <cfRule type="cellIs" dxfId="802" priority="44" stopIfTrue="1" operator="greaterThanOrEqual">
      <formula>$E$104</formula>
    </cfRule>
  </conditionalFormatting>
  <conditionalFormatting sqref="H103:Q103">
    <cfRule type="cellIs" dxfId="801" priority="41" stopIfTrue="1" operator="greaterThan">
      <formula>$E$103</formula>
    </cfRule>
    <cfRule type="cellIs" dxfId="800" priority="42" stopIfTrue="1" operator="lessThanOrEqual">
      <formula>$E$103</formula>
    </cfRule>
  </conditionalFormatting>
  <conditionalFormatting sqref="H100:Q100">
    <cfRule type="cellIs" dxfId="799" priority="30" stopIfTrue="1" operator="between">
      <formula>$D$100</formula>
      <formula>$E$100</formula>
    </cfRule>
    <cfRule type="cellIs" dxfId="798" priority="39" stopIfTrue="1" operator="lessThanOrEqual">
      <formula>$D$100</formula>
    </cfRule>
    <cfRule type="cellIs" dxfId="797" priority="40" stopIfTrue="1" operator="greaterThan">
      <formula>$E$100</formula>
    </cfRule>
  </conditionalFormatting>
  <conditionalFormatting sqref="H117:Q117">
    <cfRule type="cellIs" dxfId="796" priority="37" stopIfTrue="1" operator="greaterThan">
      <formula>$E$117</formula>
    </cfRule>
    <cfRule type="cellIs" dxfId="795" priority="38" stopIfTrue="1" operator="lessThanOrEqual">
      <formula>$E$117</formula>
    </cfRule>
  </conditionalFormatting>
  <conditionalFormatting sqref="H107:Q107">
    <cfRule type="cellIs" dxfId="794" priority="35" stopIfTrue="1" operator="greaterThan">
      <formula>$E$107</formula>
    </cfRule>
    <cfRule type="cellIs" dxfId="793" priority="36" stopIfTrue="1" operator="lessThanOrEqual">
      <formula>$E$107</formula>
    </cfRule>
  </conditionalFormatting>
  <conditionalFormatting sqref="H108:Q108">
    <cfRule type="cellIs" dxfId="792" priority="33" stopIfTrue="1" operator="lessThan">
      <formula>$E$108</formula>
    </cfRule>
    <cfRule type="cellIs" dxfId="791" priority="34" stopIfTrue="1" operator="greaterThanOrEqual">
      <formula>$E$108</formula>
    </cfRule>
  </conditionalFormatting>
  <conditionalFormatting sqref="H93:Q93">
    <cfRule type="cellIs" dxfId="790" priority="53" stopIfTrue="1" operator="lessThan">
      <formula>$D$93</formula>
    </cfRule>
    <cfRule type="cellIs" dxfId="789" priority="54" stopIfTrue="1" operator="between">
      <formula>$D$93</formula>
      <formula>$E$93</formula>
    </cfRule>
    <cfRule type="cellIs" dxfId="788" priority="55" stopIfTrue="1" operator="greaterThan">
      <formula>$E$93</formula>
    </cfRule>
  </conditionalFormatting>
  <conditionalFormatting sqref="H114:Q114">
    <cfRule type="cellIs" dxfId="787" priority="56" stopIfTrue="1" operator="lessThan">
      <formula>$E$114</formula>
    </cfRule>
    <cfRule type="cellIs" dxfId="786" priority="57" stopIfTrue="1" operator="between">
      <formula>$D$114</formula>
      <formula>$E$114</formula>
    </cfRule>
    <cfRule type="cellIs" dxfId="785" priority="58" stopIfTrue="1" operator="greaterThanOrEqual">
      <formula>$D$114</formula>
    </cfRule>
  </conditionalFormatting>
  <conditionalFormatting sqref="H90:Q90">
    <cfRule type="cellIs" dxfId="784" priority="31" stopIfTrue="1" operator="lessThan">
      <formula>$E$90</formula>
    </cfRule>
    <cfRule type="cellIs" dxfId="783" priority="32" stopIfTrue="1" operator="greaterThan">
      <formula>$E$90</formula>
    </cfRule>
  </conditionalFormatting>
  <conditionalFormatting sqref="R116">
    <cfRule type="cellIs" dxfId="782" priority="22" stopIfTrue="1" operator="greaterThan">
      <formula>$E$116</formula>
    </cfRule>
    <cfRule type="cellIs" dxfId="781" priority="23" stopIfTrue="1" operator="lessThanOrEqual">
      <formula>$E$116</formula>
    </cfRule>
  </conditionalFormatting>
  <conditionalFormatting sqref="R118">
    <cfRule type="cellIs" dxfId="780" priority="20" stopIfTrue="1" operator="lessThanOrEqual">
      <formula>$E$118</formula>
    </cfRule>
    <cfRule type="cellIs" dxfId="779" priority="21" stopIfTrue="1" operator="greaterThan">
      <formula>$E$118</formula>
    </cfRule>
  </conditionalFormatting>
  <conditionalFormatting sqref="R99">
    <cfRule type="cellIs" dxfId="778" priority="18" operator="greaterThan">
      <formula>$E$99</formula>
    </cfRule>
    <cfRule type="cellIs" dxfId="777" priority="19" operator="lessThanOrEqual">
      <formula>$E$99</formula>
    </cfRule>
  </conditionalFormatting>
  <conditionalFormatting sqref="R102">
    <cfRule type="cellIs" dxfId="776" priority="16" stopIfTrue="1" operator="greaterThanOrEqual">
      <formula>$E$102</formula>
    </cfRule>
    <cfRule type="cellIs" dxfId="775" priority="17" stopIfTrue="1" operator="lessThan">
      <formula>$E$102</formula>
    </cfRule>
  </conditionalFormatting>
  <conditionalFormatting sqref="R104">
    <cfRule type="cellIs" dxfId="774" priority="14" stopIfTrue="1" operator="lessThan">
      <formula>$E$104</formula>
    </cfRule>
    <cfRule type="cellIs" dxfId="773" priority="15" stopIfTrue="1" operator="greaterThanOrEqual">
      <formula>$E$104</formula>
    </cfRule>
  </conditionalFormatting>
  <conditionalFormatting sqref="R103">
    <cfRule type="cellIs" dxfId="772" priority="12" stopIfTrue="1" operator="greaterThan">
      <formula>$E$103</formula>
    </cfRule>
    <cfRule type="cellIs" dxfId="771" priority="13" stopIfTrue="1" operator="lessThanOrEqual">
      <formula>$E$103</formula>
    </cfRule>
  </conditionalFormatting>
  <conditionalFormatting sqref="R100">
    <cfRule type="cellIs" dxfId="770" priority="1" stopIfTrue="1" operator="between">
      <formula>$D$100</formula>
      <formula>$E$100</formula>
    </cfRule>
    <cfRule type="cellIs" dxfId="769" priority="10" stopIfTrue="1" operator="lessThanOrEqual">
      <formula>$D$100</formula>
    </cfRule>
    <cfRule type="cellIs" dxfId="768" priority="11" stopIfTrue="1" operator="greaterThan">
      <formula>$E$100</formula>
    </cfRule>
  </conditionalFormatting>
  <conditionalFormatting sqref="R117">
    <cfRule type="cellIs" dxfId="767" priority="8" stopIfTrue="1" operator="greaterThan">
      <formula>$E$117</formula>
    </cfRule>
    <cfRule type="cellIs" dxfId="766" priority="9" stopIfTrue="1" operator="lessThanOrEqual">
      <formula>$E$117</formula>
    </cfRule>
  </conditionalFormatting>
  <conditionalFormatting sqref="R107">
    <cfRule type="cellIs" dxfId="765" priority="6" stopIfTrue="1" operator="greaterThan">
      <formula>$E$107</formula>
    </cfRule>
    <cfRule type="cellIs" dxfId="764" priority="7" stopIfTrue="1" operator="lessThanOrEqual">
      <formula>$E$107</formula>
    </cfRule>
  </conditionalFormatting>
  <conditionalFormatting sqref="R108">
    <cfRule type="cellIs" dxfId="763" priority="4" stopIfTrue="1" operator="lessThan">
      <formula>$E$108</formula>
    </cfRule>
    <cfRule type="cellIs" dxfId="762" priority="5" stopIfTrue="1" operator="greaterThanOrEqual">
      <formula>$E$108</formula>
    </cfRule>
  </conditionalFormatting>
  <conditionalFormatting sqref="R93">
    <cfRule type="cellIs" dxfId="761" priority="24" stopIfTrue="1" operator="lessThan">
      <formula>$D$93</formula>
    </cfRule>
    <cfRule type="cellIs" dxfId="760" priority="25" stopIfTrue="1" operator="between">
      <formula>$D$93</formula>
      <formula>$E$93</formula>
    </cfRule>
    <cfRule type="cellIs" dxfId="759" priority="26" stopIfTrue="1" operator="greaterThan">
      <formula>$E$93</formula>
    </cfRule>
  </conditionalFormatting>
  <conditionalFormatting sqref="R114">
    <cfRule type="cellIs" dxfId="758" priority="27" stopIfTrue="1" operator="lessThan">
      <formula>$E$114</formula>
    </cfRule>
    <cfRule type="cellIs" dxfId="757" priority="28" stopIfTrue="1" operator="between">
      <formula>$D$114</formula>
      <formula>$E$114</formula>
    </cfRule>
    <cfRule type="cellIs" dxfId="756" priority="29" stopIfTrue="1" operator="greaterThanOrEqual">
      <formula>$D$114</formula>
    </cfRule>
  </conditionalFormatting>
  <conditionalFormatting sqref="R90">
    <cfRule type="cellIs" dxfId="755" priority="2" stopIfTrue="1" operator="lessThan">
      <formula>$E$90</formula>
    </cfRule>
    <cfRule type="cellIs" dxfId="754" priority="3" stopIfTrue="1" operator="greaterThan">
      <formula>$E$90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ColWidth="9.140625"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18.5703125" style="48" customWidth="1"/>
    <col min="8" max="11" width="8.7109375" style="4" customWidth="1"/>
    <col min="12" max="18" width="8.7109375" style="4" bestFit="1" customWidth="1"/>
    <col min="19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6" t="s">
        <v>424</v>
      </c>
      <c r="H2" s="7" t="s">
        <v>425</v>
      </c>
      <c r="I2" s="8"/>
      <c r="J2" s="9"/>
      <c r="K2" s="1274" t="s">
        <v>6</v>
      </c>
      <c r="L2" s="1275"/>
      <c r="M2" s="1276" t="s">
        <v>426</v>
      </c>
      <c r="N2" s="1277"/>
      <c r="O2" s="1277"/>
      <c r="P2" s="1277"/>
      <c r="Q2" s="1277"/>
      <c r="R2" s="1278"/>
    </row>
    <row r="3" spans="1:18" x14ac:dyDescent="0.2">
      <c r="A3" s="1"/>
      <c r="B3" s="10"/>
      <c r="C3" s="3"/>
      <c r="D3" s="3"/>
      <c r="E3" s="1"/>
      <c r="F3" s="1"/>
      <c r="G3" s="11" t="s">
        <v>7</v>
      </c>
      <c r="H3" s="12">
        <v>40908</v>
      </c>
      <c r="I3" s="12">
        <v>41274</v>
      </c>
      <c r="J3" s="12">
        <v>41639</v>
      </c>
      <c r="K3" s="12">
        <v>42004</v>
      </c>
      <c r="L3" s="12">
        <v>42369</v>
      </c>
      <c r="M3" s="12">
        <v>42735</v>
      </c>
      <c r="N3" s="12">
        <v>43100</v>
      </c>
      <c r="O3" s="12">
        <v>43465</v>
      </c>
      <c r="P3" s="12">
        <v>43830</v>
      </c>
      <c r="Q3" s="12">
        <v>44196</v>
      </c>
      <c r="R3" s="12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14" t="s">
        <v>9</v>
      </c>
      <c r="H4" s="15">
        <f t="shared" ref="H4:R4" si="0">H5+H10</f>
        <v>0</v>
      </c>
      <c r="I4" s="15">
        <f t="shared" si="0"/>
        <v>2140.6549999999997</v>
      </c>
      <c r="J4" s="15">
        <f t="shared" si="0"/>
        <v>9590.7429999999986</v>
      </c>
      <c r="K4" s="15">
        <f t="shared" si="0"/>
        <v>10474.335999999999</v>
      </c>
      <c r="L4" s="15">
        <f t="shared" si="0"/>
        <v>10565.377</v>
      </c>
      <c r="M4" s="15">
        <f t="shared" si="0"/>
        <v>10825.466999999999</v>
      </c>
      <c r="N4" s="15">
        <f t="shared" si="0"/>
        <v>10649.853999999999</v>
      </c>
      <c r="O4" s="15">
        <f t="shared" si="0"/>
        <v>10570.865</v>
      </c>
      <c r="P4" s="15">
        <f t="shared" si="0"/>
        <v>10590.876</v>
      </c>
      <c r="Q4" s="15">
        <f t="shared" si="0"/>
        <v>10580.887000000001</v>
      </c>
      <c r="R4" s="15">
        <f t="shared" si="0"/>
        <v>10595.898000000001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15">
        <f t="shared" ref="H5:R5" si="1">SUM(H6:H9)</f>
        <v>0</v>
      </c>
      <c r="I5" s="15">
        <f t="shared" si="1"/>
        <v>46.777999999999999</v>
      </c>
      <c r="J5" s="15">
        <f t="shared" si="1"/>
        <v>97.816999999999993</v>
      </c>
      <c r="K5" s="15">
        <f t="shared" si="1"/>
        <v>181.46</v>
      </c>
      <c r="L5" s="15">
        <f t="shared" si="1"/>
        <v>159.40200000000002</v>
      </c>
      <c r="M5" s="15">
        <f t="shared" si="1"/>
        <v>271.613</v>
      </c>
      <c r="N5" s="15">
        <f t="shared" si="1"/>
        <v>70</v>
      </c>
      <c r="O5" s="15">
        <f t="shared" si="1"/>
        <v>90</v>
      </c>
      <c r="P5" s="15">
        <f t="shared" si="1"/>
        <v>209</v>
      </c>
      <c r="Q5" s="15">
        <f t="shared" si="1"/>
        <v>298</v>
      </c>
      <c r="R5" s="15">
        <f t="shared" si="1"/>
        <v>412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21">
        <v>0</v>
      </c>
      <c r="I6" s="21">
        <v>0.1</v>
      </c>
      <c r="J6" s="21">
        <v>81.132999999999996</v>
      </c>
      <c r="K6" s="21">
        <v>152.84</v>
      </c>
      <c r="L6" s="21">
        <v>109.02200000000001</v>
      </c>
      <c r="M6" s="21">
        <v>221.303</v>
      </c>
      <c r="N6" s="21">
        <v>20</v>
      </c>
      <c r="O6" s="21">
        <v>50</v>
      </c>
      <c r="P6" s="21">
        <v>159</v>
      </c>
      <c r="Q6" s="21">
        <v>248</v>
      </c>
      <c r="R6" s="21">
        <v>357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21">
        <v>0</v>
      </c>
      <c r="I7" s="21">
        <v>39.527999999999999</v>
      </c>
      <c r="J7" s="21">
        <v>4.1639999999999997</v>
      </c>
      <c r="K7" s="21">
        <v>10.023</v>
      </c>
      <c r="L7" s="21">
        <v>27.277000000000001</v>
      </c>
      <c r="M7" s="21">
        <v>18.689</v>
      </c>
      <c r="N7" s="21">
        <v>15</v>
      </c>
      <c r="O7" s="21">
        <v>20</v>
      </c>
      <c r="P7" s="21">
        <v>25</v>
      </c>
      <c r="Q7" s="21">
        <v>25</v>
      </c>
      <c r="R7" s="21">
        <v>35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21">
        <v>0</v>
      </c>
      <c r="I9" s="21">
        <v>7.15</v>
      </c>
      <c r="J9" s="21">
        <v>12.52</v>
      </c>
      <c r="K9" s="21">
        <v>18.597000000000001</v>
      </c>
      <c r="L9" s="21">
        <v>23.103000000000002</v>
      </c>
      <c r="M9" s="21">
        <v>31.620999999999999</v>
      </c>
      <c r="N9" s="21">
        <v>35</v>
      </c>
      <c r="O9" s="21">
        <v>20</v>
      </c>
      <c r="P9" s="21">
        <v>25</v>
      </c>
      <c r="Q9" s="21">
        <v>25</v>
      </c>
      <c r="R9" s="21">
        <v>20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15">
        <f>SUM(H11:H16)</f>
        <v>0</v>
      </c>
      <c r="I10" s="15">
        <f t="shared" ref="I10:R10" si="2">SUM(I11:I16)</f>
        <v>2093.877</v>
      </c>
      <c r="J10" s="15">
        <f t="shared" si="2"/>
        <v>9492.9259999999995</v>
      </c>
      <c r="K10" s="15">
        <f t="shared" si="2"/>
        <v>10292.876</v>
      </c>
      <c r="L10" s="15">
        <f t="shared" si="2"/>
        <v>10405.975</v>
      </c>
      <c r="M10" s="15">
        <f t="shared" si="2"/>
        <v>10553.853999999999</v>
      </c>
      <c r="N10" s="15">
        <f t="shared" si="2"/>
        <v>10579.853999999999</v>
      </c>
      <c r="O10" s="15">
        <f t="shared" si="2"/>
        <v>10480.865</v>
      </c>
      <c r="P10" s="15">
        <f t="shared" si="2"/>
        <v>10381.876</v>
      </c>
      <c r="Q10" s="15">
        <f t="shared" si="2"/>
        <v>10282.887000000001</v>
      </c>
      <c r="R10" s="15">
        <f t="shared" si="2"/>
        <v>10183.898000000001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21">
        <v>0</v>
      </c>
      <c r="I15" s="21">
        <v>2093.877</v>
      </c>
      <c r="J15" s="21">
        <v>9492.9259999999995</v>
      </c>
      <c r="K15" s="21">
        <v>10292.876</v>
      </c>
      <c r="L15" s="21">
        <v>10405.975</v>
      </c>
      <c r="M15" s="21">
        <v>10553.853999999999</v>
      </c>
      <c r="N15" s="21">
        <v>10579.853999999999</v>
      </c>
      <c r="O15" s="21">
        <f>N15+O45</f>
        <v>10480.865</v>
      </c>
      <c r="P15" s="21">
        <f t="shared" ref="P15:R15" si="3">O15+P45</f>
        <v>10381.876</v>
      </c>
      <c r="Q15" s="21">
        <f t="shared" si="3"/>
        <v>10282.887000000001</v>
      </c>
      <c r="R15" s="21">
        <f t="shared" si="3"/>
        <v>10183.898000000001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15">
        <f>H19+H27</f>
        <v>0</v>
      </c>
      <c r="I18" s="15">
        <f t="shared" ref="I18:R18" si="4">I19+I27</f>
        <v>2140.6549999999997</v>
      </c>
      <c r="J18" s="15">
        <f t="shared" si="4"/>
        <v>9590.7419999999984</v>
      </c>
      <c r="K18" s="15">
        <f t="shared" si="4"/>
        <v>10474.336000000001</v>
      </c>
      <c r="L18" s="15">
        <f t="shared" si="4"/>
        <v>10565.376</v>
      </c>
      <c r="M18" s="15">
        <f t="shared" si="4"/>
        <v>10825.468999999999</v>
      </c>
      <c r="N18" s="15">
        <f t="shared" si="4"/>
        <v>10650.243999999999</v>
      </c>
      <c r="O18" s="15">
        <f t="shared" si="4"/>
        <v>10570.509</v>
      </c>
      <c r="P18" s="15">
        <f t="shared" si="4"/>
        <v>10591.270999999999</v>
      </c>
      <c r="Q18" s="15">
        <f t="shared" si="4"/>
        <v>10581.335999999999</v>
      </c>
      <c r="R18" s="15">
        <f t="shared" si="4"/>
        <v>10596.335999999999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15">
        <f>SUM(H21:H26)</f>
        <v>0</v>
      </c>
      <c r="I19" s="15">
        <f t="shared" ref="I19:R19" si="5">SUM(I21:I26)</f>
        <v>55.875</v>
      </c>
      <c r="J19" s="15">
        <f t="shared" si="5"/>
        <v>76.986999999999995</v>
      </c>
      <c r="K19" s="15">
        <f t="shared" si="5"/>
        <v>113.575</v>
      </c>
      <c r="L19" s="15">
        <f t="shared" si="5"/>
        <v>116.371</v>
      </c>
      <c r="M19" s="15">
        <f t="shared" si="5"/>
        <v>409.47900000000004</v>
      </c>
      <c r="N19" s="15">
        <f t="shared" si="5"/>
        <v>241.90800000000002</v>
      </c>
      <c r="O19" s="15">
        <f t="shared" si="5"/>
        <v>126.173</v>
      </c>
      <c r="P19" s="15">
        <f t="shared" si="5"/>
        <v>116.935</v>
      </c>
      <c r="Q19" s="15">
        <f t="shared" si="5"/>
        <v>84</v>
      </c>
      <c r="R19" s="15">
        <f t="shared" si="5"/>
        <v>74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31">
        <v>0</v>
      </c>
      <c r="I20" s="31">
        <v>55.875</v>
      </c>
      <c r="J20" s="31">
        <v>76.986999999999995</v>
      </c>
      <c r="K20" s="31">
        <v>113.575</v>
      </c>
      <c r="L20" s="31">
        <v>116.371</v>
      </c>
      <c r="M20" s="31">
        <v>17.852</v>
      </c>
      <c r="N20" s="31">
        <v>24.239000000000001</v>
      </c>
      <c r="O20" s="31">
        <v>24.734999999999999</v>
      </c>
      <c r="P20" s="31">
        <v>25.236999999999998</v>
      </c>
      <c r="Q20" s="31">
        <v>27.934000000000001</v>
      </c>
      <c r="R20" s="31">
        <v>25</v>
      </c>
      <c r="S20" s="4"/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21">
        <v>0</v>
      </c>
      <c r="I21" s="21">
        <v>55.875</v>
      </c>
      <c r="J21" s="21">
        <v>76.986999999999995</v>
      </c>
      <c r="K21" s="21">
        <v>113.575</v>
      </c>
      <c r="L21" s="21">
        <v>116.371</v>
      </c>
      <c r="M21" s="21">
        <v>307.33100000000002</v>
      </c>
      <c r="N21" s="21">
        <v>164</v>
      </c>
      <c r="O21" s="21">
        <v>73</v>
      </c>
      <c r="P21" s="21">
        <v>89</v>
      </c>
      <c r="Q21" s="21">
        <v>84</v>
      </c>
      <c r="R21" s="21">
        <v>74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102.148</v>
      </c>
      <c r="N24" s="21">
        <v>77.908000000000001</v>
      </c>
      <c r="O24" s="21">
        <v>53.173000000000002</v>
      </c>
      <c r="P24" s="21">
        <v>27.934999999999999</v>
      </c>
      <c r="Q24" s="21">
        <v>0</v>
      </c>
      <c r="R24" s="21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15">
        <f>SUM(H28:H30)</f>
        <v>0</v>
      </c>
      <c r="I27" s="15">
        <f t="shared" ref="I27:R27" si="6">SUM(I28:I30)</f>
        <v>2084.7799999999997</v>
      </c>
      <c r="J27" s="15">
        <f t="shared" si="6"/>
        <v>9513.7549999999992</v>
      </c>
      <c r="K27" s="15">
        <f t="shared" si="6"/>
        <v>10360.761</v>
      </c>
      <c r="L27" s="15">
        <f t="shared" si="6"/>
        <v>10449.005000000001</v>
      </c>
      <c r="M27" s="15">
        <f t="shared" si="6"/>
        <v>10415.99</v>
      </c>
      <c r="N27" s="15">
        <f t="shared" si="6"/>
        <v>10408.335999999999</v>
      </c>
      <c r="O27" s="15">
        <f t="shared" si="6"/>
        <v>10444.335999999999</v>
      </c>
      <c r="P27" s="15">
        <f t="shared" si="6"/>
        <v>10474.335999999999</v>
      </c>
      <c r="Q27" s="15">
        <f t="shared" si="6"/>
        <v>10497.335999999999</v>
      </c>
      <c r="R27" s="15">
        <f t="shared" si="6"/>
        <v>10522.335999999999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21">
        <v>0</v>
      </c>
      <c r="I28" s="21">
        <v>0.1</v>
      </c>
      <c r="J28" s="21">
        <v>9483.027</v>
      </c>
      <c r="K28" s="21">
        <v>10304.337</v>
      </c>
      <c r="L28" s="21">
        <v>10304.337</v>
      </c>
      <c r="M28" s="21">
        <v>10304.335999999999</v>
      </c>
      <c r="N28" s="21">
        <v>10304.335999999999</v>
      </c>
      <c r="O28" s="21">
        <v>10304.335999999999</v>
      </c>
      <c r="P28" s="21">
        <v>10304.335999999999</v>
      </c>
      <c r="Q28" s="21">
        <v>10304.335999999999</v>
      </c>
      <c r="R28" s="21">
        <v>10304.335999999999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21">
        <v>0</v>
      </c>
      <c r="I29" s="21">
        <v>0</v>
      </c>
      <c r="J29" s="21">
        <v>0</v>
      </c>
      <c r="K29" s="21">
        <v>21.53</v>
      </c>
      <c r="L29" s="21">
        <f>K29+K30</f>
        <v>56.423999999999999</v>
      </c>
      <c r="M29" s="21">
        <v>144.66800000000001</v>
      </c>
      <c r="N29" s="21">
        <v>112</v>
      </c>
      <c r="O29" s="21">
        <v>104</v>
      </c>
      <c r="P29" s="21">
        <v>140</v>
      </c>
      <c r="Q29" s="21">
        <v>170</v>
      </c>
      <c r="R29" s="21">
        <v>193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21">
        <v>0</v>
      </c>
      <c r="I30" s="21">
        <v>2084.6799999999998</v>
      </c>
      <c r="J30" s="21">
        <v>30.728000000000002</v>
      </c>
      <c r="K30" s="21">
        <v>34.893999999999998</v>
      </c>
      <c r="L30" s="21">
        <v>88.244</v>
      </c>
      <c r="M30" s="21">
        <v>-33.014000000000003</v>
      </c>
      <c r="N30" s="21">
        <v>-8</v>
      </c>
      <c r="O30" s="21">
        <v>36</v>
      </c>
      <c r="P30" s="21">
        <v>30</v>
      </c>
      <c r="Q30" s="21">
        <v>23</v>
      </c>
      <c r="R30" s="21">
        <v>25</v>
      </c>
    </row>
    <row r="31" spans="1:19" s="40" customFormat="1" x14ac:dyDescent="0.2">
      <c r="A31" s="35"/>
      <c r="B31" s="10"/>
      <c r="C31" s="36"/>
      <c r="D31" s="36"/>
      <c r="E31" s="37"/>
      <c r="F31" s="35"/>
      <c r="G31" s="38" t="s">
        <v>77</v>
      </c>
      <c r="H31" s="39">
        <f t="shared" ref="H31:R31" si="7">H4-H18</f>
        <v>0</v>
      </c>
      <c r="I31" s="39">
        <f t="shared" si="7"/>
        <v>0</v>
      </c>
      <c r="J31" s="39">
        <f t="shared" si="7"/>
        <v>1.0000000002037268E-3</v>
      </c>
      <c r="K31" s="39">
        <f t="shared" si="7"/>
        <v>0</v>
      </c>
      <c r="L31" s="39">
        <f t="shared" si="7"/>
        <v>1.0000000002037268E-3</v>
      </c>
      <c r="M31" s="39">
        <f t="shared" si="7"/>
        <v>-2.0000000004074536E-3</v>
      </c>
      <c r="N31" s="39">
        <f t="shared" si="7"/>
        <v>-0.38999999999941792</v>
      </c>
      <c r="O31" s="39">
        <f t="shared" si="7"/>
        <v>0.35599999999976717</v>
      </c>
      <c r="P31" s="39">
        <f t="shared" si="7"/>
        <v>-0.39499999999861757</v>
      </c>
      <c r="Q31" s="39">
        <f t="shared" si="7"/>
        <v>-0.44899999999870488</v>
      </c>
      <c r="R31" s="39">
        <f t="shared" si="7"/>
        <v>-0.43799999999828287</v>
      </c>
      <c r="S31" s="4"/>
    </row>
    <row r="32" spans="1:19" x14ac:dyDescent="0.2">
      <c r="G32" s="11" t="s">
        <v>78</v>
      </c>
      <c r="H32" s="41">
        <v>2011</v>
      </c>
      <c r="I32" s="41">
        <f t="shared" ref="I32:R32" si="8">H32+1</f>
        <v>2012</v>
      </c>
      <c r="J32" s="41">
        <f t="shared" si="8"/>
        <v>2013</v>
      </c>
      <c r="K32" s="41">
        <f t="shared" si="8"/>
        <v>2014</v>
      </c>
      <c r="L32" s="41">
        <f t="shared" si="8"/>
        <v>2015</v>
      </c>
      <c r="M32" s="41">
        <f t="shared" si="8"/>
        <v>2016</v>
      </c>
      <c r="N32" s="41">
        <f t="shared" si="8"/>
        <v>2017</v>
      </c>
      <c r="O32" s="41">
        <f t="shared" si="8"/>
        <v>2018</v>
      </c>
      <c r="P32" s="41">
        <f t="shared" si="8"/>
        <v>2019</v>
      </c>
      <c r="Q32" s="41">
        <f t="shared" si="8"/>
        <v>2020</v>
      </c>
      <c r="R32" s="41">
        <f t="shared" si="8"/>
        <v>2021</v>
      </c>
    </row>
    <row r="33" spans="1:18" x14ac:dyDescent="0.2">
      <c r="B33" s="2" t="s">
        <v>79</v>
      </c>
      <c r="C33" s="19">
        <v>3</v>
      </c>
      <c r="G33" s="14" t="s">
        <v>80</v>
      </c>
      <c r="H33" s="15">
        <f>SUM(H34:H37)</f>
        <v>0</v>
      </c>
      <c r="I33" s="15">
        <f t="shared" ref="I33:R33" si="9">SUM(I34:I37)</f>
        <v>2084.6799999999998</v>
      </c>
      <c r="J33" s="15">
        <f t="shared" si="9"/>
        <v>830.57399999999996</v>
      </c>
      <c r="K33" s="15">
        <f t="shared" si="9"/>
        <v>859.81100000000004</v>
      </c>
      <c r="L33" s="15">
        <f t="shared" si="9"/>
        <v>1056.4680000000001</v>
      </c>
      <c r="M33" s="15">
        <f t="shared" si="9"/>
        <v>1233.953</v>
      </c>
      <c r="N33" s="15">
        <f t="shared" si="9"/>
        <v>1295.7829999999999</v>
      </c>
      <c r="O33" s="15">
        <f t="shared" si="9"/>
        <v>1360.5619999999999</v>
      </c>
      <c r="P33" s="15">
        <f t="shared" si="9"/>
        <v>1686.462</v>
      </c>
      <c r="Q33" s="15">
        <f t="shared" si="9"/>
        <v>1935.287</v>
      </c>
      <c r="R33" s="15">
        <f t="shared" si="9"/>
        <v>1917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21">
        <v>0</v>
      </c>
      <c r="I35" s="21">
        <v>0</v>
      </c>
      <c r="J35" s="21">
        <v>227.785</v>
      </c>
      <c r="K35" s="21">
        <v>248.31399999999999</v>
      </c>
      <c r="L35" s="21">
        <v>229.154</v>
      </c>
      <c r="M35" s="21">
        <v>373.12</v>
      </c>
      <c r="N35" s="21">
        <v>528.30999999999995</v>
      </c>
      <c r="O35" s="21">
        <v>661.1</v>
      </c>
      <c r="P35" s="21">
        <v>910</v>
      </c>
      <c r="Q35" s="21">
        <v>1267.825</v>
      </c>
      <c r="R35" s="21">
        <v>1250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21">
        <v>0</v>
      </c>
      <c r="I36" s="21">
        <v>2084.6799999999998</v>
      </c>
      <c r="J36" s="21">
        <v>595.81799999999998</v>
      </c>
      <c r="K36" s="21">
        <v>599.89800000000002</v>
      </c>
      <c r="L36" s="21">
        <v>814.83299999999997</v>
      </c>
      <c r="M36" s="21">
        <v>849.40099999999995</v>
      </c>
      <c r="N36" s="21">
        <v>754.47</v>
      </c>
      <c r="O36" s="21">
        <v>685.46199999999999</v>
      </c>
      <c r="P36" s="21">
        <v>758.46199999999999</v>
      </c>
      <c r="Q36" s="21">
        <v>649.46199999999999</v>
      </c>
      <c r="R36" s="21">
        <v>649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21">
        <v>0</v>
      </c>
      <c r="I37" s="21">
        <v>0</v>
      </c>
      <c r="J37" s="21">
        <v>6.9710000000000001</v>
      </c>
      <c r="K37" s="21">
        <v>11.599</v>
      </c>
      <c r="L37" s="21">
        <v>12.481</v>
      </c>
      <c r="M37" s="21">
        <v>11.432</v>
      </c>
      <c r="N37" s="21">
        <v>13.003</v>
      </c>
      <c r="O37" s="21">
        <v>14</v>
      </c>
      <c r="P37" s="21">
        <v>18</v>
      </c>
      <c r="Q37" s="21">
        <v>18</v>
      </c>
      <c r="R37" s="21">
        <v>18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15">
        <f>H39+H40</f>
        <v>0</v>
      </c>
      <c r="I38" s="15">
        <f t="shared" ref="I38:R38" si="10">I39+I40</f>
        <v>0</v>
      </c>
      <c r="J38" s="15">
        <f t="shared" si="10"/>
        <v>-3.7570000000000001</v>
      </c>
      <c r="K38" s="15">
        <f t="shared" si="10"/>
        <v>-2.7429999999999999</v>
      </c>
      <c r="L38" s="15">
        <f t="shared" si="10"/>
        <v>-2.9860000000000002</v>
      </c>
      <c r="M38" s="15">
        <f t="shared" si="10"/>
        <v>-3.1459999999999999</v>
      </c>
      <c r="N38" s="15">
        <f t="shared" si="10"/>
        <v>-3</v>
      </c>
      <c r="O38" s="15">
        <f t="shared" si="10"/>
        <v>-3</v>
      </c>
      <c r="P38" s="15">
        <f t="shared" si="10"/>
        <v>-3</v>
      </c>
      <c r="Q38" s="15">
        <f t="shared" si="10"/>
        <v>-3</v>
      </c>
      <c r="R38" s="15">
        <f t="shared" si="10"/>
        <v>-3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21">
        <v>0</v>
      </c>
      <c r="I40" s="21">
        <v>0</v>
      </c>
      <c r="J40" s="21">
        <v>-3.7570000000000001</v>
      </c>
      <c r="K40" s="21">
        <v>-2.7429999999999999</v>
      </c>
      <c r="L40" s="21">
        <v>-2.9860000000000002</v>
      </c>
      <c r="M40" s="21">
        <v>-3.1459999999999999</v>
      </c>
      <c r="N40" s="21">
        <v>-3</v>
      </c>
      <c r="O40" s="21">
        <v>-3</v>
      </c>
      <c r="P40" s="21">
        <v>-3</v>
      </c>
      <c r="Q40" s="21">
        <v>-3</v>
      </c>
      <c r="R40" s="21">
        <v>-3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15">
        <f>SUM(H42:H45)</f>
        <v>0</v>
      </c>
      <c r="I41" s="15">
        <f t="shared" ref="I41:R41" si="11">SUM(I42:I45)</f>
        <v>0</v>
      </c>
      <c r="J41" s="15">
        <f t="shared" si="11"/>
        <v>-796.09600000000012</v>
      </c>
      <c r="K41" s="15">
        <f t="shared" si="11"/>
        <v>-822.18100000000004</v>
      </c>
      <c r="L41" s="15">
        <f t="shared" si="11"/>
        <v>-965.26</v>
      </c>
      <c r="M41" s="15">
        <f t="shared" si="11"/>
        <v>-1262.6320000000001</v>
      </c>
      <c r="N41" s="15">
        <f t="shared" si="11"/>
        <v>-1300.5820000000001</v>
      </c>
      <c r="O41" s="15">
        <f t="shared" si="11"/>
        <v>-1321.607</v>
      </c>
      <c r="P41" s="15">
        <f t="shared" si="11"/>
        <v>-1653.5650000000001</v>
      </c>
      <c r="Q41" s="15">
        <f t="shared" si="11"/>
        <v>-1909.0630000000001</v>
      </c>
      <c r="R41" s="15">
        <f t="shared" si="11"/>
        <v>-1889.0630000000001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21">
        <v>0</v>
      </c>
      <c r="I42" s="21">
        <v>0</v>
      </c>
      <c r="J42" s="21">
        <v>-491.02100000000002</v>
      </c>
      <c r="K42" s="21">
        <v>-500.02699999999999</v>
      </c>
      <c r="L42" s="21">
        <v>-543.91700000000003</v>
      </c>
      <c r="M42" s="21">
        <v>-729.61</v>
      </c>
      <c r="N42" s="21">
        <v>-851.54600000000005</v>
      </c>
      <c r="O42" s="21">
        <v>-851.54600000000005</v>
      </c>
      <c r="P42" s="21">
        <v>-1015</v>
      </c>
      <c r="Q42" s="21">
        <v>-1094</v>
      </c>
      <c r="R42" s="21">
        <v>-1116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21">
        <v>0</v>
      </c>
      <c r="I43" s="21">
        <v>0</v>
      </c>
      <c r="J43" s="21">
        <v>-216.97200000000001</v>
      </c>
      <c r="K43" s="21">
        <v>-239.11600000000001</v>
      </c>
      <c r="L43" s="21">
        <v>-273.83300000000003</v>
      </c>
      <c r="M43" s="21">
        <v>-395.39499999999998</v>
      </c>
      <c r="N43" s="21">
        <v>-347.10899999999998</v>
      </c>
      <c r="O43" s="21">
        <v>-368</v>
      </c>
      <c r="P43" s="21">
        <v>-537</v>
      </c>
      <c r="Q43" s="21">
        <v>-714</v>
      </c>
      <c r="R43" s="21">
        <v>-672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21">
        <v>0</v>
      </c>
      <c r="I44" s="21">
        <v>0</v>
      </c>
      <c r="J44" s="21">
        <v>-25.009</v>
      </c>
      <c r="K44" s="21">
        <v>-14.644</v>
      </c>
      <c r="L44" s="21">
        <v>-16.434999999999999</v>
      </c>
      <c r="M44" s="21">
        <v>-38.637999999999998</v>
      </c>
      <c r="N44" s="21">
        <v>-2.9380000000000002</v>
      </c>
      <c r="O44" s="21">
        <v>-3.0720000000000001</v>
      </c>
      <c r="P44" s="21">
        <v>-2.5760000000000001</v>
      </c>
      <c r="Q44" s="21">
        <v>-2.0739999999999998</v>
      </c>
      <c r="R44" s="21">
        <v>-2.0739999999999998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21">
        <v>0</v>
      </c>
      <c r="I45" s="21">
        <v>0</v>
      </c>
      <c r="J45" s="21">
        <v>-63.094000000000001</v>
      </c>
      <c r="K45" s="21">
        <v>-68.394000000000005</v>
      </c>
      <c r="L45" s="21">
        <v>-131.07499999999999</v>
      </c>
      <c r="M45" s="21">
        <v>-98.989000000000004</v>
      </c>
      <c r="N45" s="21">
        <v>-98.989000000000004</v>
      </c>
      <c r="O45" s="21">
        <v>-98.989000000000004</v>
      </c>
      <c r="P45" s="21">
        <v>-98.989000000000004</v>
      </c>
      <c r="Q45" s="21">
        <v>-98.989000000000004</v>
      </c>
      <c r="R45" s="21">
        <v>-98.989000000000004</v>
      </c>
    </row>
    <row r="46" spans="1:18" x14ac:dyDescent="0.2">
      <c r="B46" s="2" t="s">
        <v>107</v>
      </c>
      <c r="G46" s="18" t="s">
        <v>108</v>
      </c>
      <c r="H46" s="15">
        <f>H33+H38+H41</f>
        <v>0</v>
      </c>
      <c r="I46" s="15">
        <f t="shared" ref="I46:R46" si="12">I33+I38+I41</f>
        <v>2084.6799999999998</v>
      </c>
      <c r="J46" s="15">
        <f t="shared" si="12"/>
        <v>30.72099999999989</v>
      </c>
      <c r="K46" s="15">
        <f t="shared" si="12"/>
        <v>34.886999999999944</v>
      </c>
      <c r="L46" s="15">
        <f t="shared" si="12"/>
        <v>88.22199999999998</v>
      </c>
      <c r="M46" s="15">
        <f t="shared" si="12"/>
        <v>-31.825000000000045</v>
      </c>
      <c r="N46" s="15">
        <f t="shared" si="12"/>
        <v>-7.7990000000002055</v>
      </c>
      <c r="O46" s="15">
        <f t="shared" si="12"/>
        <v>35.954999999999927</v>
      </c>
      <c r="P46" s="15">
        <f t="shared" si="12"/>
        <v>29.896999999999935</v>
      </c>
      <c r="Q46" s="15">
        <f t="shared" si="12"/>
        <v>23.223999999999933</v>
      </c>
      <c r="R46" s="15">
        <f t="shared" si="12"/>
        <v>24.936999999999898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21">
        <v>0</v>
      </c>
      <c r="I47" s="21">
        <v>0</v>
      </c>
      <c r="J47" s="21">
        <v>8.0000000000000002E-3</v>
      </c>
      <c r="K47" s="21">
        <v>1.9E-2</v>
      </c>
      <c r="L47" s="21">
        <v>2.1999999999999999E-2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1:18" x14ac:dyDescent="0.2">
      <c r="B48" s="2" t="s">
        <v>111</v>
      </c>
      <c r="G48" s="18" t="s">
        <v>112</v>
      </c>
      <c r="H48" s="15">
        <f>H46+H47</f>
        <v>0</v>
      </c>
      <c r="I48" s="15">
        <f t="shared" ref="I48:R48" si="13">I46+I47</f>
        <v>2084.6799999999998</v>
      </c>
      <c r="J48" s="15">
        <f t="shared" si="13"/>
        <v>30.728999999999889</v>
      </c>
      <c r="K48" s="15">
        <f t="shared" si="13"/>
        <v>34.905999999999942</v>
      </c>
      <c r="L48" s="15">
        <f t="shared" si="13"/>
        <v>88.243999999999986</v>
      </c>
      <c r="M48" s="15">
        <f t="shared" si="13"/>
        <v>-31.825000000000045</v>
      </c>
      <c r="N48" s="15">
        <f t="shared" si="13"/>
        <v>-7.7990000000002055</v>
      </c>
      <c r="O48" s="15">
        <f t="shared" si="13"/>
        <v>35.954999999999927</v>
      </c>
      <c r="P48" s="15">
        <f t="shared" si="13"/>
        <v>29.896999999999935</v>
      </c>
      <c r="Q48" s="15">
        <f t="shared" si="13"/>
        <v>23.223999999999933</v>
      </c>
      <c r="R48" s="15">
        <f t="shared" si="13"/>
        <v>24.936999999999898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x14ac:dyDescent="0.2">
      <c r="B51" s="2" t="s">
        <v>117</v>
      </c>
      <c r="G51" s="18" t="s">
        <v>118</v>
      </c>
      <c r="H51" s="15">
        <f>H48+H49+H50</f>
        <v>0</v>
      </c>
      <c r="I51" s="15">
        <f t="shared" ref="I51:R51" si="14">I48+I49+I50</f>
        <v>2084.6799999999998</v>
      </c>
      <c r="J51" s="15">
        <f t="shared" si="14"/>
        <v>30.728999999999889</v>
      </c>
      <c r="K51" s="15">
        <f t="shared" si="14"/>
        <v>34.905999999999942</v>
      </c>
      <c r="L51" s="15">
        <f t="shared" si="14"/>
        <v>88.243999999999986</v>
      </c>
      <c r="M51" s="15">
        <f t="shared" si="14"/>
        <v>-31.825000000000045</v>
      </c>
      <c r="N51" s="15">
        <f t="shared" si="14"/>
        <v>-7.7990000000002055</v>
      </c>
      <c r="O51" s="15">
        <f t="shared" si="14"/>
        <v>35.954999999999927</v>
      </c>
      <c r="P51" s="15">
        <f t="shared" si="14"/>
        <v>29.896999999999935</v>
      </c>
      <c r="Q51" s="15">
        <f t="shared" si="14"/>
        <v>23.223999999999933</v>
      </c>
      <c r="R51" s="15">
        <f t="shared" si="14"/>
        <v>24.936999999999898</v>
      </c>
    </row>
    <row r="52" spans="1:18" x14ac:dyDescent="0.2">
      <c r="A52" s="43"/>
      <c r="C52" s="44"/>
      <c r="D52" s="44"/>
      <c r="E52" s="45"/>
      <c r="F52" s="43"/>
      <c r="G52" s="38" t="s">
        <v>119</v>
      </c>
      <c r="H52" s="39">
        <f>H30-H51</f>
        <v>0</v>
      </c>
      <c r="I52" s="39">
        <f t="shared" ref="I52:R52" si="15">I30-I51</f>
        <v>0</v>
      </c>
      <c r="J52" s="39">
        <f t="shared" si="15"/>
        <v>-9.999999998875353E-4</v>
      </c>
      <c r="K52" s="39">
        <f t="shared" si="15"/>
        <v>-1.1999999999943611E-2</v>
      </c>
      <c r="L52" s="39">
        <f t="shared" si="15"/>
        <v>0</v>
      </c>
      <c r="M52" s="39">
        <f t="shared" si="15"/>
        <v>-1.1889999999999574</v>
      </c>
      <c r="N52" s="39">
        <f t="shared" si="15"/>
        <v>-0.20099999999979445</v>
      </c>
      <c r="O52" s="39">
        <f t="shared" si="15"/>
        <v>4.500000000007276E-2</v>
      </c>
      <c r="P52" s="39">
        <f t="shared" si="15"/>
        <v>0.10300000000006548</v>
      </c>
      <c r="Q52" s="39">
        <f t="shared" si="15"/>
        <v>-0.2239999999999327</v>
      </c>
      <c r="R52" s="39">
        <f t="shared" si="15"/>
        <v>6.3000000000101863E-2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21">
        <v>0</v>
      </c>
      <c r="I54" s="21">
        <v>0</v>
      </c>
      <c r="J54" s="21">
        <v>55</v>
      </c>
      <c r="K54" s="21">
        <v>53</v>
      </c>
      <c r="L54" s="21">
        <v>52</v>
      </c>
      <c r="M54" s="21">
        <v>57</v>
      </c>
      <c r="N54" s="21">
        <v>56</v>
      </c>
      <c r="O54" s="21">
        <v>64</v>
      </c>
      <c r="P54" s="21">
        <v>64</v>
      </c>
      <c r="Q54" s="21">
        <v>64</v>
      </c>
      <c r="R54" s="21">
        <v>64</v>
      </c>
    </row>
    <row r="55" spans="1:18" ht="12" x14ac:dyDescent="0.2">
      <c r="E55" s="20" t="s">
        <v>14</v>
      </c>
      <c r="G55" s="46" t="s">
        <v>122</v>
      </c>
      <c r="H55" s="21"/>
      <c r="I55" s="21"/>
      <c r="J55" s="21"/>
      <c r="K55" s="21"/>
      <c r="L55" s="47"/>
      <c r="M55" s="47"/>
      <c r="N55" s="47"/>
      <c r="O55" s="47"/>
      <c r="P55" s="47"/>
      <c r="Q55" s="47"/>
      <c r="R55" s="47"/>
    </row>
    <row r="57" spans="1:18" x14ac:dyDescent="0.2">
      <c r="D57" s="49" t="s">
        <v>123</v>
      </c>
      <c r="E57" s="50" t="s">
        <v>3</v>
      </c>
      <c r="F57" s="17"/>
      <c r="G57" s="11" t="s">
        <v>124</v>
      </c>
      <c r="H57" s="41">
        <f>H32</f>
        <v>2011</v>
      </c>
      <c r="I57" s="41">
        <f t="shared" ref="I57:R57" si="16">I32</f>
        <v>2012</v>
      </c>
      <c r="J57" s="41">
        <f t="shared" si="16"/>
        <v>2013</v>
      </c>
      <c r="K57" s="41">
        <f t="shared" si="16"/>
        <v>2014</v>
      </c>
      <c r="L57" s="41">
        <f t="shared" si="16"/>
        <v>2015</v>
      </c>
      <c r="M57" s="41">
        <f t="shared" si="16"/>
        <v>2016</v>
      </c>
      <c r="N57" s="41">
        <f t="shared" si="16"/>
        <v>2017</v>
      </c>
      <c r="O57" s="41">
        <f t="shared" si="16"/>
        <v>2018</v>
      </c>
      <c r="P57" s="41">
        <f t="shared" si="16"/>
        <v>2019</v>
      </c>
      <c r="Q57" s="41">
        <f t="shared" si="16"/>
        <v>2020</v>
      </c>
      <c r="R57" s="41">
        <f t="shared" si="16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14" t="s">
        <v>128</v>
      </c>
      <c r="H58" s="21">
        <v>0</v>
      </c>
      <c r="I58" s="21">
        <v>0</v>
      </c>
      <c r="J58" s="21">
        <v>-76.603999999999999</v>
      </c>
      <c r="K58" s="21">
        <v>-60.802999999999997</v>
      </c>
      <c r="L58" s="21">
        <v>-32.968000000000004</v>
      </c>
      <c r="M58" s="21">
        <v>-118.33499999999999</v>
      </c>
      <c r="N58" s="21">
        <v>-26</v>
      </c>
      <c r="O58" s="21">
        <v>0</v>
      </c>
      <c r="P58" s="21">
        <v>0</v>
      </c>
      <c r="Q58" s="21">
        <v>0</v>
      </c>
      <c r="R58" s="21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21">
        <v>0</v>
      </c>
      <c r="I59" s="21">
        <v>0</v>
      </c>
      <c r="J59" s="21">
        <v>0.377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21">
        <v>0</v>
      </c>
      <c r="I70" s="21">
        <v>0</v>
      </c>
      <c r="J70" s="21">
        <v>8.0000000000000002E-3</v>
      </c>
      <c r="K70" s="21">
        <v>1.9E-2</v>
      </c>
      <c r="L70" s="21">
        <v>2.1999999999999999E-2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</row>
    <row r="71" spans="2:18" x14ac:dyDescent="0.2">
      <c r="B71" s="51" t="s">
        <v>162</v>
      </c>
      <c r="D71" s="16"/>
      <c r="E71" s="22"/>
      <c r="F71" s="22"/>
      <c r="G71" s="57" t="s">
        <v>163</v>
      </c>
      <c r="H71" s="15">
        <f t="shared" ref="H71:R71" si="17">SUM(H58:H70)</f>
        <v>0</v>
      </c>
      <c r="I71" s="15">
        <f t="shared" si="17"/>
        <v>0</v>
      </c>
      <c r="J71" s="15">
        <f t="shared" si="17"/>
        <v>-76.219000000000008</v>
      </c>
      <c r="K71" s="15">
        <f t="shared" si="17"/>
        <v>-60.783999999999999</v>
      </c>
      <c r="L71" s="15">
        <f t="shared" si="17"/>
        <v>-32.946000000000005</v>
      </c>
      <c r="M71" s="15">
        <f t="shared" si="17"/>
        <v>-118.33499999999999</v>
      </c>
      <c r="N71" s="15">
        <f t="shared" si="17"/>
        <v>-26</v>
      </c>
      <c r="O71" s="15">
        <f t="shared" si="17"/>
        <v>0</v>
      </c>
      <c r="P71" s="15">
        <f t="shared" si="17"/>
        <v>0</v>
      </c>
      <c r="Q71" s="15">
        <f t="shared" si="17"/>
        <v>0</v>
      </c>
      <c r="R71" s="15">
        <f t="shared" si="17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11" t="s">
        <v>164</v>
      </c>
      <c r="H73" s="41">
        <f t="shared" ref="H73:R73" si="18">H57</f>
        <v>2011</v>
      </c>
      <c r="I73" s="41">
        <f t="shared" si="18"/>
        <v>2012</v>
      </c>
      <c r="J73" s="41">
        <f t="shared" si="18"/>
        <v>2013</v>
      </c>
      <c r="K73" s="41">
        <f t="shared" si="18"/>
        <v>2014</v>
      </c>
      <c r="L73" s="41">
        <f t="shared" si="18"/>
        <v>2015</v>
      </c>
      <c r="M73" s="41">
        <f t="shared" si="18"/>
        <v>2016</v>
      </c>
      <c r="N73" s="41">
        <f t="shared" si="18"/>
        <v>2017</v>
      </c>
      <c r="O73" s="41">
        <f t="shared" si="18"/>
        <v>2018</v>
      </c>
      <c r="P73" s="41">
        <f t="shared" si="18"/>
        <v>2019</v>
      </c>
      <c r="Q73" s="41">
        <f t="shared" si="18"/>
        <v>2020</v>
      </c>
      <c r="R73" s="41">
        <f t="shared" si="18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14" t="s">
        <v>167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120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-17.852</v>
      </c>
      <c r="O77" s="21">
        <v>-24.24</v>
      </c>
      <c r="P77" s="21">
        <v>-24.736000000000001</v>
      </c>
      <c r="Q77" s="21">
        <v>-25.236999999999998</v>
      </c>
      <c r="R77" s="21">
        <v>-27.934000000000001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21">
        <v>0</v>
      </c>
      <c r="I79" s="21">
        <v>0</v>
      </c>
      <c r="J79" s="21">
        <v>0</v>
      </c>
      <c r="K79" s="21">
        <v>0</v>
      </c>
      <c r="L79" s="21">
        <v>-5.0999999999999997E-2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21">
        <v>0</v>
      </c>
      <c r="I82" s="87">
        <v>0.1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59" t="s">
        <v>114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</row>
    <row r="85" spans="1:18" x14ac:dyDescent="0.2">
      <c r="B85" s="2" t="s">
        <v>192</v>
      </c>
      <c r="G85" s="59" t="s">
        <v>163</v>
      </c>
      <c r="H85" s="15">
        <f t="shared" ref="H85:R85" si="19">SUM(H74:H84)</f>
        <v>0</v>
      </c>
      <c r="I85" s="15">
        <f t="shared" si="19"/>
        <v>0.1</v>
      </c>
      <c r="J85" s="15">
        <f t="shared" si="19"/>
        <v>0</v>
      </c>
      <c r="K85" s="15">
        <f t="shared" si="19"/>
        <v>0</v>
      </c>
      <c r="L85" s="15">
        <f t="shared" si="19"/>
        <v>-5.0999999999999997E-2</v>
      </c>
      <c r="M85" s="15">
        <f t="shared" si="19"/>
        <v>120</v>
      </c>
      <c r="N85" s="15">
        <f t="shared" si="19"/>
        <v>-17.852</v>
      </c>
      <c r="O85" s="15">
        <f t="shared" si="19"/>
        <v>-24.24</v>
      </c>
      <c r="P85" s="15">
        <f t="shared" si="19"/>
        <v>-24.736000000000001</v>
      </c>
      <c r="Q85" s="15">
        <f t="shared" si="19"/>
        <v>-25.236999999999998</v>
      </c>
      <c r="R85" s="15">
        <f t="shared" si="19"/>
        <v>-27.934000000000001</v>
      </c>
    </row>
    <row r="87" spans="1:18" x14ac:dyDescent="0.2">
      <c r="A87" s="23" t="s">
        <v>0</v>
      </c>
      <c r="D87" s="1279" t="s">
        <v>193</v>
      </c>
      <c r="E87" s="1280"/>
      <c r="G87" s="11" t="s">
        <v>194</v>
      </c>
      <c r="H87" s="41">
        <f t="shared" ref="H87:R87" si="20">H32</f>
        <v>2011</v>
      </c>
      <c r="I87" s="41">
        <f t="shared" si="20"/>
        <v>2012</v>
      </c>
      <c r="J87" s="41">
        <f t="shared" si="20"/>
        <v>2013</v>
      </c>
      <c r="K87" s="41">
        <f t="shared" si="20"/>
        <v>2014</v>
      </c>
      <c r="L87" s="41">
        <f t="shared" si="20"/>
        <v>2015</v>
      </c>
      <c r="M87" s="41">
        <f t="shared" si="20"/>
        <v>2016</v>
      </c>
      <c r="N87" s="41">
        <f t="shared" si="20"/>
        <v>2017</v>
      </c>
      <c r="O87" s="41">
        <f t="shared" si="20"/>
        <v>2018</v>
      </c>
      <c r="P87" s="41">
        <f t="shared" si="20"/>
        <v>2019</v>
      </c>
      <c r="Q87" s="41">
        <f t="shared" si="20"/>
        <v>2020</v>
      </c>
      <c r="R87" s="41">
        <f t="shared" si="20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60"/>
      <c r="G88" s="14" t="s">
        <v>198</v>
      </c>
      <c r="H88" s="15">
        <f>H46+H71</f>
        <v>0</v>
      </c>
      <c r="I88" s="15">
        <f t="shared" ref="I88:R88" si="21">I46+I71</f>
        <v>2084.6799999999998</v>
      </c>
      <c r="J88" s="15">
        <f t="shared" si="21"/>
        <v>-45.498000000000118</v>
      </c>
      <c r="K88" s="15">
        <f t="shared" si="21"/>
        <v>-25.897000000000055</v>
      </c>
      <c r="L88" s="15">
        <f t="shared" si="21"/>
        <v>55.275999999999975</v>
      </c>
      <c r="M88" s="15">
        <f t="shared" si="21"/>
        <v>-150.16000000000003</v>
      </c>
      <c r="N88" s="15">
        <f t="shared" si="21"/>
        <v>-33.799000000000206</v>
      </c>
      <c r="O88" s="15">
        <f t="shared" si="21"/>
        <v>35.954999999999927</v>
      </c>
      <c r="P88" s="15">
        <f t="shared" si="21"/>
        <v>29.896999999999935</v>
      </c>
      <c r="Q88" s="15">
        <f t="shared" si="21"/>
        <v>23.223999999999933</v>
      </c>
      <c r="R88" s="15">
        <f t="shared" si="21"/>
        <v>24.936999999999898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60"/>
      <c r="G89" s="14" t="s">
        <v>202</v>
      </c>
      <c r="H89" s="61">
        <f t="shared" ref="H89:R89" si="22">H33+H38+H41-H45</f>
        <v>0</v>
      </c>
      <c r="I89" s="15">
        <f t="shared" si="22"/>
        <v>2084.6799999999998</v>
      </c>
      <c r="J89" s="15">
        <f t="shared" si="22"/>
        <v>93.814999999999884</v>
      </c>
      <c r="K89" s="15">
        <f t="shared" si="22"/>
        <v>103.28099999999995</v>
      </c>
      <c r="L89" s="15">
        <f t="shared" si="22"/>
        <v>219.29699999999997</v>
      </c>
      <c r="M89" s="15">
        <f t="shared" si="22"/>
        <v>67.163999999999959</v>
      </c>
      <c r="N89" s="15">
        <f t="shared" si="22"/>
        <v>91.189999999999799</v>
      </c>
      <c r="O89" s="15">
        <f t="shared" si="22"/>
        <v>134.94399999999993</v>
      </c>
      <c r="P89" s="15">
        <f t="shared" si="22"/>
        <v>128.88599999999994</v>
      </c>
      <c r="Q89" s="15">
        <f t="shared" si="22"/>
        <v>122.21299999999994</v>
      </c>
      <c r="R89" s="15">
        <f t="shared" si="22"/>
        <v>123.9259999999999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62">
        <v>0</v>
      </c>
      <c r="G90" s="59" t="s">
        <v>206</v>
      </c>
      <c r="H90" s="63" t="e">
        <f t="shared" ref="H90:R90" si="23">H89/H33</f>
        <v>#DIV/0!</v>
      </c>
      <c r="I90" s="64">
        <f t="shared" si="23"/>
        <v>1</v>
      </c>
      <c r="J90" s="64">
        <f t="shared" si="23"/>
        <v>0.1129520066845337</v>
      </c>
      <c r="K90" s="64">
        <f t="shared" si="23"/>
        <v>0.1201205846401127</v>
      </c>
      <c r="L90" s="64">
        <f t="shared" si="23"/>
        <v>0.20757561989572798</v>
      </c>
      <c r="M90" s="64">
        <f t="shared" si="23"/>
        <v>5.4429949925159191E-2</v>
      </c>
      <c r="N90" s="64">
        <f t="shared" si="23"/>
        <v>7.0374437695200354E-2</v>
      </c>
      <c r="O90" s="64">
        <f t="shared" si="23"/>
        <v>9.9182543684154009E-2</v>
      </c>
      <c r="P90" s="64">
        <f t="shared" si="23"/>
        <v>7.6423898077750907E-2</v>
      </c>
      <c r="Q90" s="64">
        <f t="shared" si="23"/>
        <v>6.3149806721173624E-2</v>
      </c>
      <c r="R90" s="64">
        <f t="shared" si="23"/>
        <v>6.464580073030772E-2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60"/>
      <c r="G91" s="18" t="s">
        <v>210</v>
      </c>
      <c r="H91" s="65" t="e">
        <f t="shared" ref="H91:R91" si="24">-H33/(H38+H41)</f>
        <v>#DIV/0!</v>
      </c>
      <c r="I91" s="65" t="e">
        <f t="shared" si="24"/>
        <v>#DIV/0!</v>
      </c>
      <c r="J91" s="65">
        <f t="shared" si="24"/>
        <v>1.0384083075265078</v>
      </c>
      <c r="K91" s="65">
        <f t="shared" si="24"/>
        <v>1.0422911686409899</v>
      </c>
      <c r="L91" s="65">
        <f t="shared" si="24"/>
        <v>1.0911152744240618</v>
      </c>
      <c r="M91" s="65">
        <f t="shared" si="24"/>
        <v>0.97485736045341276</v>
      </c>
      <c r="N91" s="65">
        <f t="shared" si="24"/>
        <v>0.99401725399706331</v>
      </c>
      <c r="O91" s="65">
        <f t="shared" si="24"/>
        <v>1.0271439000397853</v>
      </c>
      <c r="P91" s="65">
        <f t="shared" si="24"/>
        <v>1.0180475864212994</v>
      </c>
      <c r="Q91" s="65">
        <f t="shared" si="24"/>
        <v>1.0121460433050584</v>
      </c>
      <c r="R91" s="65">
        <f t="shared" si="24"/>
        <v>1.0131797936960871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60"/>
      <c r="G92" s="14" t="s">
        <v>214</v>
      </c>
      <c r="H92" s="61">
        <f>H46</f>
        <v>0</v>
      </c>
      <c r="I92" s="61">
        <f t="shared" ref="I92:R92" si="25">I46</f>
        <v>2084.6799999999998</v>
      </c>
      <c r="J92" s="61">
        <f t="shared" si="25"/>
        <v>30.72099999999989</v>
      </c>
      <c r="K92" s="61">
        <f t="shared" si="25"/>
        <v>34.886999999999944</v>
      </c>
      <c r="L92" s="61">
        <f t="shared" si="25"/>
        <v>88.22199999999998</v>
      </c>
      <c r="M92" s="61">
        <f t="shared" si="25"/>
        <v>-31.825000000000045</v>
      </c>
      <c r="N92" s="61">
        <f t="shared" si="25"/>
        <v>-7.7990000000002055</v>
      </c>
      <c r="O92" s="61">
        <f t="shared" si="25"/>
        <v>35.954999999999927</v>
      </c>
      <c r="P92" s="61">
        <f t="shared" si="25"/>
        <v>29.896999999999935</v>
      </c>
      <c r="Q92" s="61">
        <f t="shared" si="25"/>
        <v>23.223999999999933</v>
      </c>
      <c r="R92" s="61">
        <f t="shared" si="25"/>
        <v>24.936999999999898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62">
        <v>-0.3</v>
      </c>
      <c r="E93" s="62">
        <v>0</v>
      </c>
      <c r="G93" s="18" t="s">
        <v>218</v>
      </c>
      <c r="H93" s="66" t="e">
        <f>H46/H33</f>
        <v>#DIV/0!</v>
      </c>
      <c r="I93" s="67">
        <f t="shared" ref="I93:R93" si="26">I46/I33</f>
        <v>1</v>
      </c>
      <c r="J93" s="67">
        <f t="shared" si="26"/>
        <v>3.698767358477377E-2</v>
      </c>
      <c r="K93" s="67">
        <f t="shared" si="26"/>
        <v>4.0575196176834145E-2</v>
      </c>
      <c r="L93" s="67">
        <f t="shared" si="26"/>
        <v>8.3506552020506039E-2</v>
      </c>
      <c r="M93" s="67">
        <f t="shared" si="26"/>
        <v>-2.5791095771070735E-2</v>
      </c>
      <c r="N93" s="67">
        <f t="shared" si="26"/>
        <v>-6.0187546834618187E-3</v>
      </c>
      <c r="O93" s="67">
        <f t="shared" si="26"/>
        <v>2.6426579604604518E-2</v>
      </c>
      <c r="P93" s="67">
        <f t="shared" si="26"/>
        <v>1.7727645212284614E-2</v>
      </c>
      <c r="Q93" s="67">
        <f t="shared" si="26"/>
        <v>1.2000287295889412E-2</v>
      </c>
      <c r="R93" s="67">
        <f t="shared" si="26"/>
        <v>1.3008346374543504E-2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60"/>
      <c r="G94" s="59" t="s">
        <v>222</v>
      </c>
      <c r="H94" s="61">
        <f>H29+H30</f>
        <v>0</v>
      </c>
      <c r="I94" s="61">
        <f t="shared" ref="I94:R94" si="27">I29+I30</f>
        <v>2084.6799999999998</v>
      </c>
      <c r="J94" s="61">
        <f t="shared" si="27"/>
        <v>30.728000000000002</v>
      </c>
      <c r="K94" s="61">
        <f t="shared" si="27"/>
        <v>56.423999999999999</v>
      </c>
      <c r="L94" s="61">
        <f t="shared" si="27"/>
        <v>144.66800000000001</v>
      </c>
      <c r="M94" s="61">
        <f t="shared" si="27"/>
        <v>111.654</v>
      </c>
      <c r="N94" s="61">
        <f t="shared" si="27"/>
        <v>104</v>
      </c>
      <c r="O94" s="61">
        <f t="shared" si="27"/>
        <v>140</v>
      </c>
      <c r="P94" s="61">
        <f t="shared" si="27"/>
        <v>170</v>
      </c>
      <c r="Q94" s="61">
        <f t="shared" si="27"/>
        <v>193</v>
      </c>
      <c r="R94" s="61">
        <f t="shared" si="27"/>
        <v>218</v>
      </c>
    </row>
    <row r="95" spans="1:18" x14ac:dyDescent="0.2">
      <c r="G95" s="68" t="s">
        <v>223</v>
      </c>
      <c r="H95" s="41">
        <f t="shared" ref="H95:R95" si="28">H87</f>
        <v>2011</v>
      </c>
      <c r="I95" s="41">
        <f t="shared" si="28"/>
        <v>2012</v>
      </c>
      <c r="J95" s="41">
        <f t="shared" si="28"/>
        <v>2013</v>
      </c>
      <c r="K95" s="41">
        <f t="shared" si="28"/>
        <v>2014</v>
      </c>
      <c r="L95" s="41">
        <f t="shared" si="28"/>
        <v>2015</v>
      </c>
      <c r="M95" s="41">
        <f t="shared" si="28"/>
        <v>2016</v>
      </c>
      <c r="N95" s="41">
        <f t="shared" si="28"/>
        <v>2017</v>
      </c>
      <c r="O95" s="41">
        <f t="shared" si="28"/>
        <v>2018</v>
      </c>
      <c r="P95" s="41">
        <f t="shared" si="28"/>
        <v>2019</v>
      </c>
      <c r="Q95" s="41">
        <f t="shared" si="28"/>
        <v>2020</v>
      </c>
      <c r="R95" s="41">
        <f t="shared" si="28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60"/>
      <c r="F96" s="69"/>
      <c r="G96" s="14" t="s">
        <v>227</v>
      </c>
      <c r="H96" s="61">
        <f t="shared" ref="H96:R96" si="29">H6+H12</f>
        <v>0</v>
      </c>
      <c r="I96" s="15">
        <f t="shared" si="29"/>
        <v>0.1</v>
      </c>
      <c r="J96" s="15">
        <f t="shared" si="29"/>
        <v>81.132999999999996</v>
      </c>
      <c r="K96" s="15">
        <f t="shared" si="29"/>
        <v>152.84</v>
      </c>
      <c r="L96" s="15">
        <f t="shared" si="29"/>
        <v>109.02200000000001</v>
      </c>
      <c r="M96" s="15">
        <f t="shared" si="29"/>
        <v>221.303</v>
      </c>
      <c r="N96" s="15">
        <f t="shared" si="29"/>
        <v>20</v>
      </c>
      <c r="O96" s="15">
        <f t="shared" si="29"/>
        <v>50</v>
      </c>
      <c r="P96" s="15">
        <f t="shared" si="29"/>
        <v>159</v>
      </c>
      <c r="Q96" s="15">
        <f t="shared" si="29"/>
        <v>248</v>
      </c>
      <c r="R96" s="15">
        <f t="shared" si="29"/>
        <v>357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60"/>
      <c r="F97" s="69"/>
      <c r="G97" s="18" t="s">
        <v>230</v>
      </c>
      <c r="H97" s="61">
        <f>H19</f>
        <v>0</v>
      </c>
      <c r="I97" s="61">
        <f t="shared" ref="I97:R97" si="30">I19</f>
        <v>55.875</v>
      </c>
      <c r="J97" s="61">
        <f t="shared" si="30"/>
        <v>76.986999999999995</v>
      </c>
      <c r="K97" s="61">
        <f t="shared" si="30"/>
        <v>113.575</v>
      </c>
      <c r="L97" s="61">
        <f t="shared" si="30"/>
        <v>116.371</v>
      </c>
      <c r="M97" s="61">
        <f t="shared" si="30"/>
        <v>409.47900000000004</v>
      </c>
      <c r="N97" s="61">
        <f t="shared" si="30"/>
        <v>241.90800000000002</v>
      </c>
      <c r="O97" s="61">
        <f t="shared" si="30"/>
        <v>126.173</v>
      </c>
      <c r="P97" s="61">
        <f t="shared" si="30"/>
        <v>116.935</v>
      </c>
      <c r="Q97" s="61">
        <f t="shared" si="30"/>
        <v>84</v>
      </c>
      <c r="R97" s="61">
        <f t="shared" si="30"/>
        <v>74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60"/>
      <c r="F98" s="69"/>
      <c r="G98" s="18" t="s">
        <v>234</v>
      </c>
      <c r="H98" s="61">
        <f t="shared" ref="H98:R98" si="31">H97-H96</f>
        <v>0</v>
      </c>
      <c r="I98" s="15">
        <f t="shared" si="31"/>
        <v>55.774999999999999</v>
      </c>
      <c r="J98" s="15">
        <f t="shared" si="31"/>
        <v>-4.1460000000000008</v>
      </c>
      <c r="K98" s="15">
        <f t="shared" si="31"/>
        <v>-39.265000000000001</v>
      </c>
      <c r="L98" s="15">
        <f t="shared" si="31"/>
        <v>7.3489999999999895</v>
      </c>
      <c r="M98" s="15">
        <f t="shared" si="31"/>
        <v>188.17600000000004</v>
      </c>
      <c r="N98" s="15">
        <f t="shared" si="31"/>
        <v>221.90800000000002</v>
      </c>
      <c r="O98" s="15">
        <f t="shared" si="31"/>
        <v>76.173000000000002</v>
      </c>
      <c r="P98" s="15">
        <f t="shared" si="31"/>
        <v>-42.064999999999998</v>
      </c>
      <c r="Q98" s="15">
        <f t="shared" si="31"/>
        <v>-164</v>
      </c>
      <c r="R98" s="15">
        <f t="shared" si="31"/>
        <v>-283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62">
        <v>0.4</v>
      </c>
      <c r="F99" s="69"/>
      <c r="G99" s="18" t="s">
        <v>238</v>
      </c>
      <c r="H99" s="70" t="e">
        <f t="shared" ref="H99:R99" si="32">H98/H33</f>
        <v>#DIV/0!</v>
      </c>
      <c r="I99" s="64">
        <f t="shared" si="32"/>
        <v>2.6754705758197904E-2</v>
      </c>
      <c r="J99" s="64">
        <f t="shared" si="32"/>
        <v>-4.9917286117793251E-3</v>
      </c>
      <c r="K99" s="64">
        <f t="shared" si="32"/>
        <v>-4.5667012866781188E-2</v>
      </c>
      <c r="L99" s="64">
        <f t="shared" si="32"/>
        <v>6.9561974427999607E-3</v>
      </c>
      <c r="M99" s="64">
        <f t="shared" si="32"/>
        <v>0.15249851493533387</v>
      </c>
      <c r="N99" s="64">
        <f t="shared" si="32"/>
        <v>0.17125398311291323</v>
      </c>
      <c r="O99" s="64">
        <f t="shared" si="32"/>
        <v>5.5986423257448029E-2</v>
      </c>
      <c r="P99" s="64">
        <f t="shared" si="32"/>
        <v>-2.4942749970055654E-2</v>
      </c>
      <c r="Q99" s="64">
        <f t="shared" si="32"/>
        <v>-8.4741953002319556E-2</v>
      </c>
      <c r="R99" s="64">
        <f t="shared" si="32"/>
        <v>-0.1476264997391758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71">
        <v>0</v>
      </c>
      <c r="E100" s="71">
        <v>5</v>
      </c>
      <c r="F100" s="69"/>
      <c r="G100" s="18" t="s">
        <v>242</v>
      </c>
      <c r="H100" s="65" t="e">
        <f t="shared" ref="H100:R100" si="33">H98/H89</f>
        <v>#DIV/0!</v>
      </c>
      <c r="I100" s="65">
        <f t="shared" si="33"/>
        <v>2.6754705758197904E-2</v>
      </c>
      <c r="J100" s="65">
        <f t="shared" si="33"/>
        <v>-4.419335927090557E-2</v>
      </c>
      <c r="K100" s="65">
        <f t="shared" si="33"/>
        <v>-0.38017641192474916</v>
      </c>
      <c r="L100" s="65">
        <f t="shared" si="33"/>
        <v>3.351163034606032E-2</v>
      </c>
      <c r="M100" s="65">
        <f t="shared" si="33"/>
        <v>2.8017390268596296</v>
      </c>
      <c r="N100" s="65">
        <f t="shared" si="33"/>
        <v>2.4334685820813742</v>
      </c>
      <c r="O100" s="65">
        <f t="shared" si="33"/>
        <v>0.56447859852976079</v>
      </c>
      <c r="P100" s="65">
        <f t="shared" si="33"/>
        <v>-0.32637369458280974</v>
      </c>
      <c r="Q100" s="65">
        <f t="shared" si="33"/>
        <v>-1.3419194357392428</v>
      </c>
      <c r="R100" s="65">
        <f t="shared" si="33"/>
        <v>-2.2836208705195054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60"/>
      <c r="F101" s="69"/>
      <c r="G101" s="18" t="s">
        <v>246</v>
      </c>
      <c r="H101" s="61">
        <f t="shared" ref="H101:R101" si="34">-(H75+H77+H78+H79+H80+H81)</f>
        <v>0</v>
      </c>
      <c r="I101" s="61">
        <f t="shared" si="34"/>
        <v>0</v>
      </c>
      <c r="J101" s="61">
        <f t="shared" si="34"/>
        <v>0</v>
      </c>
      <c r="K101" s="61">
        <f t="shared" si="34"/>
        <v>0</v>
      </c>
      <c r="L101" s="61">
        <f t="shared" si="34"/>
        <v>5.0999999999999997E-2</v>
      </c>
      <c r="M101" s="61">
        <f t="shared" si="34"/>
        <v>0</v>
      </c>
      <c r="N101" s="61">
        <f t="shared" si="34"/>
        <v>17.852</v>
      </c>
      <c r="O101" s="61">
        <f t="shared" si="34"/>
        <v>24.24</v>
      </c>
      <c r="P101" s="61">
        <f t="shared" si="34"/>
        <v>24.736000000000001</v>
      </c>
      <c r="Q101" s="61">
        <f t="shared" si="34"/>
        <v>25.236999999999998</v>
      </c>
      <c r="R101" s="61">
        <f t="shared" si="34"/>
        <v>27.934000000000001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71">
        <v>1.2</v>
      </c>
      <c r="F102" s="69"/>
      <c r="G102" s="18" t="s">
        <v>250</v>
      </c>
      <c r="H102" s="72" t="e">
        <f t="shared" ref="H102:R102" si="35">H89/H101</f>
        <v>#DIV/0!</v>
      </c>
      <c r="I102" s="65" t="e">
        <f t="shared" si="35"/>
        <v>#DIV/0!</v>
      </c>
      <c r="J102" s="65" t="e">
        <f t="shared" si="35"/>
        <v>#DIV/0!</v>
      </c>
      <c r="K102" s="65" t="e">
        <f t="shared" si="35"/>
        <v>#DIV/0!</v>
      </c>
      <c r="L102" s="65">
        <f t="shared" si="35"/>
        <v>4299.9411764705883</v>
      </c>
      <c r="M102" s="65" t="e">
        <f t="shared" si="35"/>
        <v>#DIV/0!</v>
      </c>
      <c r="N102" s="65">
        <f t="shared" si="35"/>
        <v>5.1081111360071585</v>
      </c>
      <c r="O102" s="65">
        <f t="shared" si="35"/>
        <v>5.5669966996699642</v>
      </c>
      <c r="P102" s="65">
        <f t="shared" si="35"/>
        <v>5.2104624838292342</v>
      </c>
      <c r="Q102" s="65">
        <f t="shared" si="35"/>
        <v>4.8426120378808868</v>
      </c>
      <c r="R102" s="65">
        <f t="shared" si="35"/>
        <v>4.4363857664494848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71">
        <v>0</v>
      </c>
      <c r="F103" s="69"/>
      <c r="G103" s="14" t="s">
        <v>254</v>
      </c>
      <c r="H103" s="61">
        <f t="shared" ref="H103:R103" si="36">H5-H20</f>
        <v>0</v>
      </c>
      <c r="I103" s="61">
        <f t="shared" si="36"/>
        <v>-9.0970000000000013</v>
      </c>
      <c r="J103" s="61">
        <f t="shared" si="36"/>
        <v>20.83</v>
      </c>
      <c r="K103" s="61">
        <f t="shared" si="36"/>
        <v>67.885000000000005</v>
      </c>
      <c r="L103" s="61">
        <f t="shared" si="36"/>
        <v>43.03100000000002</v>
      </c>
      <c r="M103" s="61">
        <f t="shared" si="36"/>
        <v>253.761</v>
      </c>
      <c r="N103" s="61">
        <f t="shared" si="36"/>
        <v>45.760999999999996</v>
      </c>
      <c r="O103" s="61">
        <f t="shared" si="36"/>
        <v>65.265000000000001</v>
      </c>
      <c r="P103" s="61">
        <f t="shared" si="36"/>
        <v>183.76300000000001</v>
      </c>
      <c r="Q103" s="61">
        <f t="shared" si="36"/>
        <v>270.06599999999997</v>
      </c>
      <c r="R103" s="61">
        <f t="shared" si="36"/>
        <v>387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71">
        <v>1</v>
      </c>
      <c r="F104" s="69"/>
      <c r="G104" s="18" t="s">
        <v>258</v>
      </c>
      <c r="H104" s="72" t="e">
        <f t="shared" ref="H104:R104" si="37">H5/H20</f>
        <v>#DIV/0!</v>
      </c>
      <c r="I104" s="72">
        <f t="shared" si="37"/>
        <v>0.83719015659955254</v>
      </c>
      <c r="J104" s="72">
        <f t="shared" si="37"/>
        <v>1.2705651603517476</v>
      </c>
      <c r="K104" s="72">
        <f t="shared" si="37"/>
        <v>1.5977107638124588</v>
      </c>
      <c r="L104" s="72">
        <f t="shared" si="37"/>
        <v>1.3697742564728328</v>
      </c>
      <c r="M104" s="72">
        <f t="shared" si="37"/>
        <v>15.214709836432892</v>
      </c>
      <c r="N104" s="72">
        <f t="shared" si="37"/>
        <v>2.8879079169932753</v>
      </c>
      <c r="O104" s="72">
        <f t="shared" si="37"/>
        <v>3.6385688295936931</v>
      </c>
      <c r="P104" s="72">
        <f t="shared" si="37"/>
        <v>8.2814914609501926</v>
      </c>
      <c r="Q104" s="72">
        <f t="shared" si="37"/>
        <v>10.668003150282809</v>
      </c>
      <c r="R104" s="72">
        <f t="shared" si="37"/>
        <v>16.48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71">
        <v>1</v>
      </c>
      <c r="F105" s="69"/>
      <c r="G105" s="59" t="s">
        <v>262</v>
      </c>
      <c r="H105" s="72" t="e">
        <f t="shared" ref="H105:R105" si="38">-H6/((H38+H41-H45+H47)/12)</f>
        <v>#DIV/0!</v>
      </c>
      <c r="I105" s="72" t="e">
        <f t="shared" si="38"/>
        <v>#DIV/0!</v>
      </c>
      <c r="J105" s="72">
        <f t="shared" si="38"/>
        <v>1.3214722477472036</v>
      </c>
      <c r="K105" s="72">
        <f t="shared" si="38"/>
        <v>2.4243930359241306</v>
      </c>
      <c r="L105" s="72">
        <f t="shared" si="38"/>
        <v>1.5627612288851807</v>
      </c>
      <c r="M105" s="72">
        <f t="shared" si="38"/>
        <v>2.2760207715362419</v>
      </c>
      <c r="N105" s="72">
        <f t="shared" si="38"/>
        <v>0.19923741877962101</v>
      </c>
      <c r="O105" s="72">
        <f t="shared" si="38"/>
        <v>0.48954894591952797</v>
      </c>
      <c r="P105" s="72">
        <f t="shared" si="38"/>
        <v>1.2249803540886608</v>
      </c>
      <c r="Q105" s="72">
        <f t="shared" si="38"/>
        <v>1.6414112165305992</v>
      </c>
      <c r="R105" s="72">
        <f t="shared" si="38"/>
        <v>2.3891930840556497</v>
      </c>
    </row>
    <row r="106" spans="1:18" x14ac:dyDescent="0.2">
      <c r="C106" s="16"/>
      <c r="F106" s="69"/>
      <c r="G106" s="68" t="s">
        <v>263</v>
      </c>
      <c r="H106" s="41">
        <f t="shared" ref="H106:R106" si="39">H95</f>
        <v>2011</v>
      </c>
      <c r="I106" s="41">
        <f t="shared" si="39"/>
        <v>2012</v>
      </c>
      <c r="J106" s="41">
        <f t="shared" si="39"/>
        <v>2013</v>
      </c>
      <c r="K106" s="41">
        <f t="shared" si="39"/>
        <v>2014</v>
      </c>
      <c r="L106" s="41">
        <f t="shared" si="39"/>
        <v>2015</v>
      </c>
      <c r="M106" s="41">
        <f t="shared" si="39"/>
        <v>2016</v>
      </c>
      <c r="N106" s="41">
        <f t="shared" si="39"/>
        <v>2017</v>
      </c>
      <c r="O106" s="41">
        <f t="shared" si="39"/>
        <v>2018</v>
      </c>
      <c r="P106" s="41">
        <f t="shared" si="39"/>
        <v>2019</v>
      </c>
      <c r="Q106" s="41">
        <f t="shared" si="39"/>
        <v>2020</v>
      </c>
      <c r="R106" s="41">
        <f t="shared" si="39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62">
        <v>0.6</v>
      </c>
      <c r="F107" s="69"/>
      <c r="G107" s="14" t="s">
        <v>267</v>
      </c>
      <c r="H107" s="70" t="e">
        <f t="shared" ref="H107:R107" si="40">H17/H4</f>
        <v>#DIV/0!</v>
      </c>
      <c r="I107" s="70">
        <f t="shared" si="40"/>
        <v>0</v>
      </c>
      <c r="J107" s="70">
        <f t="shared" si="40"/>
        <v>0</v>
      </c>
      <c r="K107" s="70">
        <f t="shared" si="40"/>
        <v>0</v>
      </c>
      <c r="L107" s="70">
        <f t="shared" si="40"/>
        <v>0</v>
      </c>
      <c r="M107" s="70">
        <f t="shared" si="40"/>
        <v>0</v>
      </c>
      <c r="N107" s="70">
        <f t="shared" si="40"/>
        <v>0</v>
      </c>
      <c r="O107" s="70">
        <f t="shared" si="40"/>
        <v>0</v>
      </c>
      <c r="P107" s="70">
        <f t="shared" si="40"/>
        <v>0</v>
      </c>
      <c r="Q107" s="70">
        <f t="shared" si="40"/>
        <v>0</v>
      </c>
      <c r="R107" s="70">
        <f t="shared" si="40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62">
        <v>0.4</v>
      </c>
      <c r="F108" s="69"/>
      <c r="G108" s="59" t="s">
        <v>271</v>
      </c>
      <c r="H108" s="70" t="e">
        <f t="shared" ref="H108:R108" si="41">H27/H17</f>
        <v>#DIV/0!</v>
      </c>
      <c r="I108" s="70" t="e">
        <f t="shared" si="41"/>
        <v>#DIV/0!</v>
      </c>
      <c r="J108" s="70" t="e">
        <f t="shared" si="41"/>
        <v>#DIV/0!</v>
      </c>
      <c r="K108" s="70" t="e">
        <f t="shared" si="41"/>
        <v>#DIV/0!</v>
      </c>
      <c r="L108" s="70" t="e">
        <f t="shared" si="41"/>
        <v>#DIV/0!</v>
      </c>
      <c r="M108" s="70" t="e">
        <f t="shared" si="41"/>
        <v>#DIV/0!</v>
      </c>
      <c r="N108" s="70" t="e">
        <f t="shared" si="41"/>
        <v>#DIV/0!</v>
      </c>
      <c r="O108" s="70" t="e">
        <f t="shared" si="41"/>
        <v>#DIV/0!</v>
      </c>
      <c r="P108" s="70" t="e">
        <f t="shared" si="41"/>
        <v>#DIV/0!</v>
      </c>
      <c r="Q108" s="70" t="e">
        <f t="shared" si="41"/>
        <v>#DIV/0!</v>
      </c>
      <c r="R108" s="70" t="e">
        <f t="shared" si="41"/>
        <v>#DIV/0!</v>
      </c>
    </row>
    <row r="109" spans="1:18" x14ac:dyDescent="0.2">
      <c r="C109" s="16"/>
      <c r="F109" s="69"/>
      <c r="G109" s="74" t="s">
        <v>272</v>
      </c>
      <c r="H109" s="41">
        <f t="shared" ref="H109:R109" si="42">H95</f>
        <v>2011</v>
      </c>
      <c r="I109" s="41">
        <f t="shared" si="42"/>
        <v>2012</v>
      </c>
      <c r="J109" s="41">
        <f t="shared" si="42"/>
        <v>2013</v>
      </c>
      <c r="K109" s="41">
        <f t="shared" si="42"/>
        <v>2014</v>
      </c>
      <c r="L109" s="41">
        <f t="shared" si="42"/>
        <v>2015</v>
      </c>
      <c r="M109" s="41">
        <f t="shared" si="42"/>
        <v>2016</v>
      </c>
      <c r="N109" s="41">
        <f t="shared" si="42"/>
        <v>2017</v>
      </c>
      <c r="O109" s="41">
        <f t="shared" si="42"/>
        <v>2018</v>
      </c>
      <c r="P109" s="41">
        <f t="shared" si="42"/>
        <v>2019</v>
      </c>
      <c r="Q109" s="41">
        <f t="shared" si="42"/>
        <v>2020</v>
      </c>
      <c r="R109" s="41">
        <f t="shared" si="42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60"/>
      <c r="F110" s="69"/>
      <c r="G110" s="18" t="s">
        <v>276</v>
      </c>
      <c r="H110" s="76" t="e">
        <f t="shared" ref="H110:R110" si="43">H10/H4</f>
        <v>#DIV/0!</v>
      </c>
      <c r="I110" s="76">
        <f t="shared" si="43"/>
        <v>0.97814780989930661</v>
      </c>
      <c r="J110" s="76">
        <f t="shared" si="43"/>
        <v>0.98980089446667485</v>
      </c>
      <c r="K110" s="76">
        <f t="shared" si="43"/>
        <v>0.98267575147484298</v>
      </c>
      <c r="L110" s="76">
        <f t="shared" si="43"/>
        <v>0.98491279582356595</v>
      </c>
      <c r="M110" s="76">
        <f t="shared" si="43"/>
        <v>0.9749098122048685</v>
      </c>
      <c r="N110" s="76">
        <f t="shared" si="43"/>
        <v>0.99342713994013443</v>
      </c>
      <c r="O110" s="76">
        <f t="shared" si="43"/>
        <v>0.99148603259998114</v>
      </c>
      <c r="P110" s="76">
        <f t="shared" si="43"/>
        <v>0.9802660327625401</v>
      </c>
      <c r="Q110" s="76">
        <f t="shared" si="43"/>
        <v>0.97183600958974425</v>
      </c>
      <c r="R110" s="76">
        <f t="shared" si="43"/>
        <v>0.96111702849536684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60"/>
      <c r="F111" s="69"/>
      <c r="G111" s="18" t="s">
        <v>280</v>
      </c>
      <c r="H111" s="76" t="e">
        <f t="shared" ref="H111:R111" si="44">-(H58)/H15</f>
        <v>#DIV/0!</v>
      </c>
      <c r="I111" s="76">
        <f t="shared" si="44"/>
        <v>0</v>
      </c>
      <c r="J111" s="76">
        <f t="shared" si="44"/>
        <v>8.0695878172862626E-3</v>
      </c>
      <c r="K111" s="76">
        <f t="shared" si="44"/>
        <v>5.9072896632583541E-3</v>
      </c>
      <c r="L111" s="76">
        <f t="shared" si="44"/>
        <v>3.1681798197670092E-3</v>
      </c>
      <c r="M111" s="76">
        <f t="shared" si="44"/>
        <v>1.1212491664182582E-2</v>
      </c>
      <c r="N111" s="76">
        <f t="shared" si="44"/>
        <v>2.4575008312969159E-3</v>
      </c>
      <c r="O111" s="76">
        <f t="shared" si="44"/>
        <v>0</v>
      </c>
      <c r="P111" s="76">
        <f t="shared" si="44"/>
        <v>0</v>
      </c>
      <c r="Q111" s="76">
        <f t="shared" si="44"/>
        <v>0</v>
      </c>
      <c r="R111" s="76">
        <f t="shared" si="44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60"/>
      <c r="F112" s="69"/>
      <c r="G112" s="14" t="s">
        <v>284</v>
      </c>
      <c r="H112" s="65" t="e">
        <f t="shared" ref="H112:R112" si="45">H33/H4</f>
        <v>#DIV/0!</v>
      </c>
      <c r="I112" s="65">
        <f t="shared" si="45"/>
        <v>0.97385146135178258</v>
      </c>
      <c r="J112" s="65">
        <f t="shared" si="45"/>
        <v>8.660163242826964E-2</v>
      </c>
      <c r="K112" s="65">
        <f t="shared" si="45"/>
        <v>8.2087399143964845E-2</v>
      </c>
      <c r="L112" s="65">
        <f t="shared" si="45"/>
        <v>9.9993402980319585E-2</v>
      </c>
      <c r="M112" s="65">
        <f t="shared" si="45"/>
        <v>0.11398612179964154</v>
      </c>
      <c r="N112" s="65">
        <f t="shared" si="45"/>
        <v>0.12167143324218341</v>
      </c>
      <c r="O112" s="65">
        <f t="shared" si="45"/>
        <v>0.12870867237449346</v>
      </c>
      <c r="P112" s="65">
        <f t="shared" si="45"/>
        <v>0.15923725289579446</v>
      </c>
      <c r="Q112" s="65">
        <f t="shared" si="45"/>
        <v>0.18290404197682103</v>
      </c>
      <c r="R112" s="65">
        <f t="shared" si="45"/>
        <v>0.18091906886985887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60"/>
      <c r="F113" s="69"/>
      <c r="G113" s="59" t="s">
        <v>288</v>
      </c>
      <c r="H113" s="65" t="e">
        <f t="shared" ref="H113:R113" si="46">H33/H15</f>
        <v>#DIV/0!</v>
      </c>
      <c r="I113" s="65">
        <f t="shared" si="46"/>
        <v>0.99560766940942558</v>
      </c>
      <c r="J113" s="65">
        <f t="shared" si="46"/>
        <v>8.7493992895341224E-2</v>
      </c>
      <c r="K113" s="65">
        <f t="shared" si="46"/>
        <v>8.3534572844363428E-2</v>
      </c>
      <c r="L113" s="65">
        <f t="shared" si="46"/>
        <v>0.1015251333969186</v>
      </c>
      <c r="M113" s="65">
        <f t="shared" si="46"/>
        <v>0.11691965797518139</v>
      </c>
      <c r="N113" s="65">
        <f t="shared" si="46"/>
        <v>0.12247645383386198</v>
      </c>
      <c r="O113" s="65">
        <f t="shared" si="46"/>
        <v>0.12981390371882473</v>
      </c>
      <c r="P113" s="65">
        <f t="shared" si="46"/>
        <v>0.16244289567704334</v>
      </c>
      <c r="Q113" s="65">
        <f t="shared" si="46"/>
        <v>0.18820463552696826</v>
      </c>
      <c r="R113" s="65">
        <f t="shared" si="46"/>
        <v>0.18823833467302989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62">
        <v>0.5</v>
      </c>
      <c r="E114" s="62">
        <f>1/3</f>
        <v>0.33333333333333331</v>
      </c>
      <c r="F114" s="69"/>
      <c r="G114" s="18" t="s">
        <v>292</v>
      </c>
      <c r="H114" s="76" t="e">
        <f t="shared" ref="H114:R114" si="47">H27/H4</f>
        <v>#DIV/0!</v>
      </c>
      <c r="I114" s="76">
        <f t="shared" si="47"/>
        <v>0.97389817602556228</v>
      </c>
      <c r="J114" s="76">
        <f t="shared" si="47"/>
        <v>0.9919726761524108</v>
      </c>
      <c r="K114" s="76">
        <f t="shared" si="47"/>
        <v>0.98915683056186099</v>
      </c>
      <c r="L114" s="76">
        <f t="shared" si="47"/>
        <v>0.98898553265065703</v>
      </c>
      <c r="M114" s="76">
        <f t="shared" si="47"/>
        <v>0.96217465722263995</v>
      </c>
      <c r="N114" s="76">
        <f t="shared" si="47"/>
        <v>0.97732194262944827</v>
      </c>
      <c r="O114" s="76">
        <f t="shared" si="47"/>
        <v>0.98803040243158902</v>
      </c>
      <c r="P114" s="76">
        <f t="shared" si="47"/>
        <v>0.98899618879495887</v>
      </c>
      <c r="Q114" s="76">
        <f t="shared" si="47"/>
        <v>0.99210359207125065</v>
      </c>
      <c r="R114" s="76">
        <f t="shared" si="47"/>
        <v>0.99305750206353427</v>
      </c>
    </row>
    <row r="115" spans="1:19" x14ac:dyDescent="0.2">
      <c r="A115" s="77"/>
      <c r="C115" s="77"/>
      <c r="D115" s="78"/>
      <c r="E115" s="79"/>
      <c r="F115" s="69"/>
      <c r="G115" s="11" t="s">
        <v>293</v>
      </c>
      <c r="H115" s="41">
        <f t="shared" ref="H115:R115" si="48">H109</f>
        <v>2011</v>
      </c>
      <c r="I115" s="41">
        <f t="shared" si="48"/>
        <v>2012</v>
      </c>
      <c r="J115" s="41">
        <f t="shared" si="48"/>
        <v>2013</v>
      </c>
      <c r="K115" s="41">
        <f t="shared" si="48"/>
        <v>2014</v>
      </c>
      <c r="L115" s="41">
        <f t="shared" si="48"/>
        <v>2015</v>
      </c>
      <c r="M115" s="41">
        <f t="shared" si="48"/>
        <v>2016</v>
      </c>
      <c r="N115" s="41">
        <f t="shared" si="48"/>
        <v>2017</v>
      </c>
      <c r="O115" s="41">
        <f t="shared" si="48"/>
        <v>2018</v>
      </c>
      <c r="P115" s="41">
        <f t="shared" si="48"/>
        <v>2019</v>
      </c>
      <c r="Q115" s="41">
        <f t="shared" si="48"/>
        <v>2020</v>
      </c>
      <c r="R115" s="41">
        <f t="shared" si="48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62">
        <v>0.05</v>
      </c>
      <c r="G116" s="14" t="s">
        <v>297</v>
      </c>
      <c r="H116" s="64" t="e">
        <f t="shared" ref="H116:R116" si="49">H35/H33</f>
        <v>#DIV/0!</v>
      </c>
      <c r="I116" s="64">
        <f t="shared" si="49"/>
        <v>0</v>
      </c>
      <c r="J116" s="64">
        <f t="shared" si="49"/>
        <v>0.27425009692092456</v>
      </c>
      <c r="K116" s="64">
        <f t="shared" si="49"/>
        <v>0.28880067828860062</v>
      </c>
      <c r="L116" s="64">
        <f t="shared" si="49"/>
        <v>0.21690576524797719</v>
      </c>
      <c r="M116" s="64">
        <f t="shared" si="49"/>
        <v>0.30237780531349251</v>
      </c>
      <c r="N116" s="64">
        <f t="shared" si="49"/>
        <v>0.40771487201174889</v>
      </c>
      <c r="O116" s="64">
        <f t="shared" si="49"/>
        <v>0.48590214925890923</v>
      </c>
      <c r="P116" s="64">
        <f t="shared" si="49"/>
        <v>0.53959116778201943</v>
      </c>
      <c r="Q116" s="64">
        <f t="shared" si="49"/>
        <v>0.65510955222662071</v>
      </c>
      <c r="R116" s="64">
        <f t="shared" si="49"/>
        <v>0.65206051121544084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62">
        <v>0.95</v>
      </c>
      <c r="G117" s="18" t="s">
        <v>301</v>
      </c>
      <c r="H117" s="76" t="e">
        <f t="shared" ref="H117:R117" si="50">(H36+H34)/H33</f>
        <v>#DIV/0!</v>
      </c>
      <c r="I117" s="76">
        <f t="shared" si="50"/>
        <v>1</v>
      </c>
      <c r="J117" s="76">
        <f t="shared" si="50"/>
        <v>0.71735691220770215</v>
      </c>
      <c r="K117" s="76">
        <f t="shared" si="50"/>
        <v>0.69770914770804282</v>
      </c>
      <c r="L117" s="76">
        <f t="shared" si="50"/>
        <v>0.77128034166676129</v>
      </c>
      <c r="M117" s="76">
        <f t="shared" si="50"/>
        <v>0.68835766029986556</v>
      </c>
      <c r="N117" s="76">
        <f t="shared" si="50"/>
        <v>0.58225026875641994</v>
      </c>
      <c r="O117" s="76">
        <f t="shared" si="50"/>
        <v>0.5038079852296331</v>
      </c>
      <c r="P117" s="76">
        <f t="shared" si="50"/>
        <v>0.44973560032778681</v>
      </c>
      <c r="Q117" s="76">
        <f t="shared" si="50"/>
        <v>0.33558950171214913</v>
      </c>
      <c r="R117" s="76">
        <f t="shared" si="50"/>
        <v>0.33854981742305684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62">
        <v>0.95</v>
      </c>
      <c r="G118" s="59" t="s">
        <v>305</v>
      </c>
      <c r="H118" s="64" t="e">
        <f t="shared" ref="H118:R118" si="51">H38/(H38+H41)</f>
        <v>#DIV/0!</v>
      </c>
      <c r="I118" s="64" t="e">
        <f t="shared" si="51"/>
        <v>#DIV/0!</v>
      </c>
      <c r="J118" s="64">
        <f t="shared" si="51"/>
        <v>4.6971130945311201E-3</v>
      </c>
      <c r="K118" s="64">
        <f t="shared" si="51"/>
        <v>3.3251548021393479E-3</v>
      </c>
      <c r="L118" s="64">
        <f t="shared" si="51"/>
        <v>3.0839270185469398E-3</v>
      </c>
      <c r="M118" s="64">
        <f t="shared" si="51"/>
        <v>2.4854279344403204E-3</v>
      </c>
      <c r="N118" s="64">
        <f t="shared" si="51"/>
        <v>2.301351200001227E-3</v>
      </c>
      <c r="O118" s="64">
        <f t="shared" si="51"/>
        <v>2.2648226983550592E-3</v>
      </c>
      <c r="P118" s="64">
        <f t="shared" si="51"/>
        <v>1.8109763275211055E-3</v>
      </c>
      <c r="Q118" s="64">
        <f t="shared" si="51"/>
        <v>1.5689859591446515E-3</v>
      </c>
      <c r="R118" s="64">
        <f t="shared" si="51"/>
        <v>1.5855708821535012E-3</v>
      </c>
    </row>
    <row r="119" spans="1:19" x14ac:dyDescent="0.2">
      <c r="A119" s="77"/>
      <c r="C119" s="78"/>
      <c r="D119" s="78"/>
      <c r="E119" s="79"/>
      <c r="F119" s="69"/>
      <c r="G119" s="11" t="s">
        <v>306</v>
      </c>
      <c r="H119" s="41">
        <f>H115</f>
        <v>2011</v>
      </c>
      <c r="I119" s="41">
        <f t="shared" ref="I119:R119" si="52">I115</f>
        <v>2012</v>
      </c>
      <c r="J119" s="41">
        <f t="shared" si="52"/>
        <v>2013</v>
      </c>
      <c r="K119" s="41">
        <f t="shared" si="52"/>
        <v>2014</v>
      </c>
      <c r="L119" s="41">
        <f t="shared" si="52"/>
        <v>2015</v>
      </c>
      <c r="M119" s="41">
        <f t="shared" si="52"/>
        <v>2016</v>
      </c>
      <c r="N119" s="41">
        <f t="shared" si="52"/>
        <v>2017</v>
      </c>
      <c r="O119" s="41">
        <f t="shared" si="52"/>
        <v>2018</v>
      </c>
      <c r="P119" s="41">
        <f t="shared" si="52"/>
        <v>2019</v>
      </c>
      <c r="Q119" s="41">
        <f t="shared" si="52"/>
        <v>2020</v>
      </c>
      <c r="R119" s="41">
        <f t="shared" si="52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81">
        <v>0.5</v>
      </c>
      <c r="E120" s="82" t="s">
        <v>310</v>
      </c>
      <c r="F120" s="4"/>
      <c r="G120" s="14" t="s">
        <v>311</v>
      </c>
      <c r="H120" s="65" t="e">
        <f t="shared" ref="H120:R120" si="53">IF(H116&lt;$D$120,$E$120,H35/H4)</f>
        <v>#DIV/0!</v>
      </c>
      <c r="I120" s="65" t="str">
        <f t="shared" si="53"/>
        <v>N/A</v>
      </c>
      <c r="J120" s="65" t="str">
        <f t="shared" si="53"/>
        <v>N/A</v>
      </c>
      <c r="K120" s="65" t="str">
        <f t="shared" si="53"/>
        <v>N/A</v>
      </c>
      <c r="L120" s="65" t="str">
        <f t="shared" si="53"/>
        <v>N/A</v>
      </c>
      <c r="M120" s="65" t="str">
        <f t="shared" si="53"/>
        <v>N/A</v>
      </c>
      <c r="N120" s="65" t="str">
        <f t="shared" si="53"/>
        <v>N/A</v>
      </c>
      <c r="O120" s="65" t="str">
        <f t="shared" si="53"/>
        <v>N/A</v>
      </c>
      <c r="P120" s="65">
        <f t="shared" si="53"/>
        <v>8.5923015244442486E-2</v>
      </c>
      <c r="Q120" s="65">
        <f t="shared" si="53"/>
        <v>0.11982218503987425</v>
      </c>
      <c r="R120" s="65">
        <f t="shared" si="53"/>
        <v>0.11797018053590171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81">
        <v>0.5</v>
      </c>
      <c r="E121" s="82" t="s">
        <v>310</v>
      </c>
      <c r="F121" s="4"/>
      <c r="G121" s="18" t="s">
        <v>315</v>
      </c>
      <c r="H121" s="65" t="e">
        <f t="shared" ref="H121:R121" si="54">IF(H116&lt;$D$121,$E$121,H35/H15)</f>
        <v>#DIV/0!</v>
      </c>
      <c r="I121" s="65" t="str">
        <f t="shared" si="54"/>
        <v>N/A</v>
      </c>
      <c r="J121" s="65" t="str">
        <f t="shared" si="54"/>
        <v>N/A</v>
      </c>
      <c r="K121" s="65" t="str">
        <f t="shared" si="54"/>
        <v>N/A</v>
      </c>
      <c r="L121" s="65" t="str">
        <f t="shared" si="54"/>
        <v>N/A</v>
      </c>
      <c r="M121" s="65" t="str">
        <f t="shared" si="54"/>
        <v>N/A</v>
      </c>
      <c r="N121" s="65" t="str">
        <f t="shared" si="54"/>
        <v>N/A</v>
      </c>
      <c r="O121" s="65" t="str">
        <f t="shared" si="54"/>
        <v>N/A</v>
      </c>
      <c r="P121" s="65">
        <f t="shared" si="54"/>
        <v>8.7652751776268564E-2</v>
      </c>
      <c r="Q121" s="65">
        <f t="shared" si="54"/>
        <v>0.12329465450704651</v>
      </c>
      <c r="R121" s="65">
        <f t="shared" si="54"/>
        <v>0.12274278473723911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81">
        <v>0.5</v>
      </c>
      <c r="E122" s="82" t="s">
        <v>310</v>
      </c>
      <c r="F122" s="4"/>
      <c r="G122" s="14" t="s">
        <v>318</v>
      </c>
      <c r="H122" s="76" t="e">
        <f t="shared" ref="H122:R122" si="55">IF(H116&lt;$D$122,$E$122,H46/H33)</f>
        <v>#DIV/0!</v>
      </c>
      <c r="I122" s="76" t="str">
        <f t="shared" si="55"/>
        <v>N/A</v>
      </c>
      <c r="J122" s="76" t="str">
        <f t="shared" si="55"/>
        <v>N/A</v>
      </c>
      <c r="K122" s="76" t="str">
        <f t="shared" si="55"/>
        <v>N/A</v>
      </c>
      <c r="L122" s="76" t="str">
        <f t="shared" si="55"/>
        <v>N/A</v>
      </c>
      <c r="M122" s="76" t="str">
        <f t="shared" si="55"/>
        <v>N/A</v>
      </c>
      <c r="N122" s="76" t="str">
        <f t="shared" si="55"/>
        <v>N/A</v>
      </c>
      <c r="O122" s="76" t="str">
        <f t="shared" si="55"/>
        <v>N/A</v>
      </c>
      <c r="P122" s="76">
        <f t="shared" si="55"/>
        <v>1.7727645212284614E-2</v>
      </c>
      <c r="Q122" s="76">
        <f t="shared" si="55"/>
        <v>1.2000287295889412E-2</v>
      </c>
      <c r="R122" s="76">
        <f t="shared" si="55"/>
        <v>1.3008346374543504E-2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81">
        <v>0.5</v>
      </c>
      <c r="E123" s="82" t="s">
        <v>310</v>
      </c>
      <c r="F123" s="4"/>
      <c r="G123" s="18" t="s">
        <v>322</v>
      </c>
      <c r="H123" s="76" t="e">
        <f t="shared" ref="H123:R123" si="56">IF(H116&lt;$D$122,$E$123,H51/H33)</f>
        <v>#DIV/0!</v>
      </c>
      <c r="I123" s="76" t="str">
        <f t="shared" si="56"/>
        <v>N/A</v>
      </c>
      <c r="J123" s="76" t="str">
        <f t="shared" si="56"/>
        <v>N/A</v>
      </c>
      <c r="K123" s="76" t="str">
        <f t="shared" si="56"/>
        <v>N/A</v>
      </c>
      <c r="L123" s="76" t="str">
        <f t="shared" si="56"/>
        <v>N/A</v>
      </c>
      <c r="M123" s="76" t="str">
        <f t="shared" si="56"/>
        <v>N/A</v>
      </c>
      <c r="N123" s="76" t="str">
        <f t="shared" si="56"/>
        <v>N/A</v>
      </c>
      <c r="O123" s="76" t="str">
        <f t="shared" si="56"/>
        <v>N/A</v>
      </c>
      <c r="P123" s="76">
        <f t="shared" si="56"/>
        <v>1.7727645212284614E-2</v>
      </c>
      <c r="Q123" s="76">
        <f t="shared" si="56"/>
        <v>1.2000287295889412E-2</v>
      </c>
      <c r="R123" s="76">
        <f t="shared" si="56"/>
        <v>1.3008346374543504E-2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81">
        <v>0.5</v>
      </c>
      <c r="E124" s="82" t="s">
        <v>310</v>
      </c>
      <c r="F124" s="4"/>
      <c r="G124" s="18" t="s">
        <v>326</v>
      </c>
      <c r="H124" s="76" t="e">
        <f t="shared" ref="H124:R124" si="57">IF(H116&lt;$D$124,$E$124,H51/H4)</f>
        <v>#DIV/0!</v>
      </c>
      <c r="I124" s="76" t="str">
        <f t="shared" si="57"/>
        <v>N/A</v>
      </c>
      <c r="J124" s="76" t="str">
        <f t="shared" si="57"/>
        <v>N/A</v>
      </c>
      <c r="K124" s="76" t="str">
        <f t="shared" si="57"/>
        <v>N/A</v>
      </c>
      <c r="L124" s="76" t="str">
        <f t="shared" si="57"/>
        <v>N/A</v>
      </c>
      <c r="M124" s="76" t="str">
        <f t="shared" si="57"/>
        <v>N/A</v>
      </c>
      <c r="N124" s="76" t="str">
        <f t="shared" si="57"/>
        <v>N/A</v>
      </c>
      <c r="O124" s="76" t="str">
        <f t="shared" si="57"/>
        <v>N/A</v>
      </c>
      <c r="P124" s="76">
        <f t="shared" si="57"/>
        <v>2.8229015239154848E-3</v>
      </c>
      <c r="Q124" s="76">
        <f t="shared" si="57"/>
        <v>2.1949010513012692E-3</v>
      </c>
      <c r="R124" s="76">
        <f t="shared" si="57"/>
        <v>2.3534579136190153E-3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81">
        <v>0.5</v>
      </c>
      <c r="E125" s="82" t="s">
        <v>310</v>
      </c>
      <c r="F125" s="4"/>
      <c r="G125" s="59" t="s">
        <v>330</v>
      </c>
      <c r="H125" s="76" t="e">
        <f t="shared" ref="H125:R125" si="58">IF(H116&lt;$D$125,$E$125,H51/H27)</f>
        <v>#DIV/0!</v>
      </c>
      <c r="I125" s="76" t="str">
        <f t="shared" si="58"/>
        <v>N/A</v>
      </c>
      <c r="J125" s="76" t="str">
        <f t="shared" si="58"/>
        <v>N/A</v>
      </c>
      <c r="K125" s="76" t="str">
        <f t="shared" si="58"/>
        <v>N/A</v>
      </c>
      <c r="L125" s="76" t="str">
        <f t="shared" si="58"/>
        <v>N/A</v>
      </c>
      <c r="M125" s="76" t="str">
        <f t="shared" si="58"/>
        <v>N/A</v>
      </c>
      <c r="N125" s="76" t="str">
        <f t="shared" si="58"/>
        <v>N/A</v>
      </c>
      <c r="O125" s="76" t="str">
        <f t="shared" si="58"/>
        <v>N/A</v>
      </c>
      <c r="P125" s="76">
        <f t="shared" si="58"/>
        <v>2.8543098101874846E-3</v>
      </c>
      <c r="Q125" s="76">
        <f t="shared" si="58"/>
        <v>2.2123708338953746E-3</v>
      </c>
      <c r="R125" s="76">
        <f t="shared" si="58"/>
        <v>2.3699110159569035E-3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41">
        <f>H119</f>
        <v>2011</v>
      </c>
      <c r="I127" s="41">
        <f t="shared" ref="I127:R127" si="59">I119</f>
        <v>2012</v>
      </c>
      <c r="J127" s="41">
        <f t="shared" si="59"/>
        <v>2013</v>
      </c>
      <c r="K127" s="41">
        <f t="shared" si="59"/>
        <v>2014</v>
      </c>
      <c r="L127" s="41">
        <f t="shared" si="59"/>
        <v>2015</v>
      </c>
      <c r="M127" s="41">
        <f t="shared" si="59"/>
        <v>2016</v>
      </c>
      <c r="N127" s="41">
        <f t="shared" si="59"/>
        <v>2017</v>
      </c>
      <c r="O127" s="41">
        <f t="shared" si="59"/>
        <v>2018</v>
      </c>
      <c r="P127" s="41">
        <f t="shared" si="59"/>
        <v>2019</v>
      </c>
      <c r="Q127" s="41">
        <f t="shared" si="59"/>
        <v>2020</v>
      </c>
      <c r="R127" s="41">
        <f t="shared" si="59"/>
        <v>2021</v>
      </c>
    </row>
    <row r="128" spans="1:19" x14ac:dyDescent="0.2">
      <c r="G128" s="83" t="s">
        <v>331</v>
      </c>
      <c r="H128" s="84">
        <f t="shared" ref="H128:R128" si="60">H33</f>
        <v>0</v>
      </c>
      <c r="I128" s="84">
        <f t="shared" si="60"/>
        <v>2084.6799999999998</v>
      </c>
      <c r="J128" s="84">
        <f t="shared" si="60"/>
        <v>830.57399999999996</v>
      </c>
      <c r="K128" s="84">
        <f t="shared" si="60"/>
        <v>859.81100000000004</v>
      </c>
      <c r="L128" s="84">
        <f t="shared" si="60"/>
        <v>1056.4680000000001</v>
      </c>
      <c r="M128" s="84">
        <f t="shared" si="60"/>
        <v>1233.953</v>
      </c>
      <c r="N128" s="84">
        <f t="shared" si="60"/>
        <v>1295.7829999999999</v>
      </c>
      <c r="O128" s="84">
        <f t="shared" si="60"/>
        <v>1360.5619999999999</v>
      </c>
      <c r="P128" s="84">
        <f t="shared" si="60"/>
        <v>1686.462</v>
      </c>
      <c r="Q128" s="84">
        <f t="shared" si="60"/>
        <v>1935.287</v>
      </c>
      <c r="R128" s="84">
        <f t="shared" si="60"/>
        <v>1917</v>
      </c>
    </row>
    <row r="129" spans="3:19" x14ac:dyDescent="0.2">
      <c r="G129" s="83" t="s">
        <v>332</v>
      </c>
      <c r="H129" s="84">
        <f t="shared" ref="H129:R130" si="61">H35</f>
        <v>0</v>
      </c>
      <c r="I129" s="84">
        <f t="shared" si="61"/>
        <v>0</v>
      </c>
      <c r="J129" s="84">
        <f t="shared" si="61"/>
        <v>227.785</v>
      </c>
      <c r="K129" s="84">
        <f t="shared" si="61"/>
        <v>248.31399999999999</v>
      </c>
      <c r="L129" s="84">
        <f t="shared" si="61"/>
        <v>229.154</v>
      </c>
      <c r="M129" s="84">
        <f t="shared" si="61"/>
        <v>373.12</v>
      </c>
      <c r="N129" s="84">
        <f t="shared" si="61"/>
        <v>528.30999999999995</v>
      </c>
      <c r="O129" s="84">
        <f t="shared" si="61"/>
        <v>661.1</v>
      </c>
      <c r="P129" s="84">
        <f t="shared" si="61"/>
        <v>910</v>
      </c>
      <c r="Q129" s="84">
        <f t="shared" si="61"/>
        <v>1267.825</v>
      </c>
      <c r="R129" s="84">
        <f t="shared" si="61"/>
        <v>1250</v>
      </c>
    </row>
    <row r="130" spans="3:19" x14ac:dyDescent="0.2">
      <c r="G130" s="83" t="s">
        <v>333</v>
      </c>
      <c r="H130" s="84">
        <f t="shared" si="61"/>
        <v>0</v>
      </c>
      <c r="I130" s="84">
        <f t="shared" si="61"/>
        <v>2084.6799999999998</v>
      </c>
      <c r="J130" s="84">
        <f t="shared" si="61"/>
        <v>595.81799999999998</v>
      </c>
      <c r="K130" s="84">
        <f t="shared" si="61"/>
        <v>599.89800000000002</v>
      </c>
      <c r="L130" s="84">
        <f t="shared" si="61"/>
        <v>814.83299999999997</v>
      </c>
      <c r="M130" s="84">
        <f t="shared" si="61"/>
        <v>849.40099999999995</v>
      </c>
      <c r="N130" s="84">
        <f t="shared" si="61"/>
        <v>754.47</v>
      </c>
      <c r="O130" s="84">
        <f t="shared" si="61"/>
        <v>685.46199999999999</v>
      </c>
      <c r="P130" s="84">
        <f t="shared" si="61"/>
        <v>758.46199999999999</v>
      </c>
      <c r="Q130" s="84">
        <f t="shared" si="61"/>
        <v>649.46199999999999</v>
      </c>
      <c r="R130" s="84">
        <f t="shared" si="61"/>
        <v>649</v>
      </c>
    </row>
    <row r="131" spans="3:19" x14ac:dyDescent="0.2">
      <c r="G131" s="83" t="s">
        <v>334</v>
      </c>
      <c r="H131" s="84">
        <f t="shared" ref="H131:R131" si="62">H38+H41</f>
        <v>0</v>
      </c>
      <c r="I131" s="84">
        <f t="shared" si="62"/>
        <v>0</v>
      </c>
      <c r="J131" s="84">
        <f t="shared" si="62"/>
        <v>-799.85300000000007</v>
      </c>
      <c r="K131" s="84">
        <f t="shared" si="62"/>
        <v>-824.92400000000009</v>
      </c>
      <c r="L131" s="84">
        <f t="shared" si="62"/>
        <v>-968.24599999999998</v>
      </c>
      <c r="M131" s="84">
        <f t="shared" si="62"/>
        <v>-1265.778</v>
      </c>
      <c r="N131" s="84">
        <f t="shared" si="62"/>
        <v>-1303.5820000000001</v>
      </c>
      <c r="O131" s="84">
        <f t="shared" si="62"/>
        <v>-1324.607</v>
      </c>
      <c r="P131" s="84">
        <f t="shared" si="62"/>
        <v>-1656.5650000000001</v>
      </c>
      <c r="Q131" s="84">
        <f t="shared" si="62"/>
        <v>-1912.0630000000001</v>
      </c>
      <c r="R131" s="84">
        <f t="shared" si="62"/>
        <v>-1892.0630000000001</v>
      </c>
    </row>
    <row r="132" spans="3:19" x14ac:dyDescent="0.2">
      <c r="G132" s="83" t="s">
        <v>335</v>
      </c>
      <c r="H132" s="84">
        <f t="shared" ref="H132:R132" si="63">H41</f>
        <v>0</v>
      </c>
      <c r="I132" s="84">
        <f t="shared" si="63"/>
        <v>0</v>
      </c>
      <c r="J132" s="84">
        <f t="shared" si="63"/>
        <v>-796.09600000000012</v>
      </c>
      <c r="K132" s="84">
        <f t="shared" si="63"/>
        <v>-822.18100000000004</v>
      </c>
      <c r="L132" s="84">
        <f t="shared" si="63"/>
        <v>-965.26</v>
      </c>
      <c r="M132" s="84">
        <f t="shared" si="63"/>
        <v>-1262.6320000000001</v>
      </c>
      <c r="N132" s="84">
        <f t="shared" si="63"/>
        <v>-1300.5820000000001</v>
      </c>
      <c r="O132" s="84">
        <f t="shared" si="63"/>
        <v>-1321.607</v>
      </c>
      <c r="P132" s="84">
        <f t="shared" si="63"/>
        <v>-1653.5650000000001</v>
      </c>
      <c r="Q132" s="84">
        <f t="shared" si="63"/>
        <v>-1909.0630000000001</v>
      </c>
      <c r="R132" s="84">
        <f t="shared" si="63"/>
        <v>-1889.0630000000001</v>
      </c>
    </row>
    <row r="133" spans="3:19" x14ac:dyDescent="0.2">
      <c r="G133" s="83" t="s">
        <v>336</v>
      </c>
      <c r="H133" s="84">
        <f t="shared" ref="H133:R133" si="64">H38</f>
        <v>0</v>
      </c>
      <c r="I133" s="84">
        <f t="shared" si="64"/>
        <v>0</v>
      </c>
      <c r="J133" s="84">
        <f t="shared" si="64"/>
        <v>-3.7570000000000001</v>
      </c>
      <c r="K133" s="84">
        <f t="shared" si="64"/>
        <v>-2.7429999999999999</v>
      </c>
      <c r="L133" s="84">
        <f t="shared" si="64"/>
        <v>-2.9860000000000002</v>
      </c>
      <c r="M133" s="84">
        <f t="shared" si="64"/>
        <v>-3.1459999999999999</v>
      </c>
      <c r="N133" s="84">
        <f t="shared" si="64"/>
        <v>-3</v>
      </c>
      <c r="O133" s="84">
        <f t="shared" si="64"/>
        <v>-3</v>
      </c>
      <c r="P133" s="84">
        <f t="shared" si="64"/>
        <v>-3</v>
      </c>
      <c r="Q133" s="84">
        <f t="shared" si="64"/>
        <v>-3</v>
      </c>
      <c r="R133" s="84">
        <f t="shared" si="64"/>
        <v>-3</v>
      </c>
    </row>
    <row r="134" spans="3:19" x14ac:dyDescent="0.2">
      <c r="G134" s="83" t="s">
        <v>337</v>
      </c>
      <c r="H134" s="84">
        <f t="shared" ref="H134:R134" si="65">H46</f>
        <v>0</v>
      </c>
      <c r="I134" s="84">
        <f t="shared" si="65"/>
        <v>2084.6799999999998</v>
      </c>
      <c r="J134" s="84">
        <f t="shared" si="65"/>
        <v>30.72099999999989</v>
      </c>
      <c r="K134" s="84">
        <f t="shared" si="65"/>
        <v>34.886999999999944</v>
      </c>
      <c r="L134" s="84">
        <f t="shared" si="65"/>
        <v>88.22199999999998</v>
      </c>
      <c r="M134" s="84">
        <f t="shared" si="65"/>
        <v>-31.825000000000045</v>
      </c>
      <c r="N134" s="84">
        <f t="shared" si="65"/>
        <v>-7.7990000000002055</v>
      </c>
      <c r="O134" s="84">
        <f t="shared" si="65"/>
        <v>35.954999999999927</v>
      </c>
      <c r="P134" s="84">
        <f t="shared" si="65"/>
        <v>29.896999999999935</v>
      </c>
      <c r="Q134" s="84">
        <f t="shared" si="65"/>
        <v>23.223999999999933</v>
      </c>
      <c r="R134" s="84">
        <f t="shared" si="65"/>
        <v>24.936999999999898</v>
      </c>
    </row>
    <row r="135" spans="3:19" x14ac:dyDescent="0.2">
      <c r="G135" s="83" t="s">
        <v>338</v>
      </c>
      <c r="H135" s="84">
        <f t="shared" ref="H135:R135" si="66">H51</f>
        <v>0</v>
      </c>
      <c r="I135" s="84">
        <f t="shared" si="66"/>
        <v>2084.6799999999998</v>
      </c>
      <c r="J135" s="84">
        <f t="shared" si="66"/>
        <v>30.728999999999889</v>
      </c>
      <c r="K135" s="84">
        <f t="shared" si="66"/>
        <v>34.905999999999942</v>
      </c>
      <c r="L135" s="84">
        <f t="shared" si="66"/>
        <v>88.243999999999986</v>
      </c>
      <c r="M135" s="84">
        <f t="shared" si="66"/>
        <v>-31.825000000000045</v>
      </c>
      <c r="N135" s="84">
        <f t="shared" si="66"/>
        <v>-7.7990000000002055</v>
      </c>
      <c r="O135" s="84">
        <f t="shared" si="66"/>
        <v>35.954999999999927</v>
      </c>
      <c r="P135" s="84">
        <f t="shared" si="66"/>
        <v>29.896999999999935</v>
      </c>
      <c r="Q135" s="84">
        <f t="shared" si="66"/>
        <v>23.223999999999933</v>
      </c>
      <c r="R135" s="84">
        <f t="shared" si="66"/>
        <v>24.936999999999898</v>
      </c>
    </row>
    <row r="136" spans="3:19" x14ac:dyDescent="0.2">
      <c r="G136" s="83" t="s">
        <v>339</v>
      </c>
      <c r="H136" s="84">
        <f t="shared" ref="H136:R137" si="67">H4</f>
        <v>0</v>
      </c>
      <c r="I136" s="84">
        <f t="shared" si="67"/>
        <v>2140.6549999999997</v>
      </c>
      <c r="J136" s="84">
        <f t="shared" si="67"/>
        <v>9590.7429999999986</v>
      </c>
      <c r="K136" s="84">
        <f t="shared" si="67"/>
        <v>10474.335999999999</v>
      </c>
      <c r="L136" s="84">
        <f t="shared" si="67"/>
        <v>10565.377</v>
      </c>
      <c r="M136" s="84">
        <f t="shared" si="67"/>
        <v>10825.466999999999</v>
      </c>
      <c r="N136" s="84">
        <f t="shared" si="67"/>
        <v>10649.853999999999</v>
      </c>
      <c r="O136" s="84">
        <f t="shared" si="67"/>
        <v>10570.865</v>
      </c>
      <c r="P136" s="84">
        <f t="shared" si="67"/>
        <v>10590.876</v>
      </c>
      <c r="Q136" s="84">
        <f t="shared" si="67"/>
        <v>10580.887000000001</v>
      </c>
      <c r="R136" s="84">
        <f t="shared" si="67"/>
        <v>10595.898000000001</v>
      </c>
    </row>
    <row r="137" spans="3:19" x14ac:dyDescent="0.2">
      <c r="G137" s="83" t="s">
        <v>340</v>
      </c>
      <c r="H137" s="84">
        <f t="shared" si="67"/>
        <v>0</v>
      </c>
      <c r="I137" s="84">
        <f t="shared" si="67"/>
        <v>46.777999999999999</v>
      </c>
      <c r="J137" s="84">
        <f t="shared" si="67"/>
        <v>97.816999999999993</v>
      </c>
      <c r="K137" s="84">
        <f t="shared" si="67"/>
        <v>181.46</v>
      </c>
      <c r="L137" s="84">
        <f t="shared" si="67"/>
        <v>159.40200000000002</v>
      </c>
      <c r="M137" s="84">
        <f t="shared" si="67"/>
        <v>271.613</v>
      </c>
      <c r="N137" s="84">
        <f t="shared" si="67"/>
        <v>70</v>
      </c>
      <c r="O137" s="84">
        <f t="shared" si="67"/>
        <v>90</v>
      </c>
      <c r="P137" s="84">
        <f t="shared" si="67"/>
        <v>209</v>
      </c>
      <c r="Q137" s="84">
        <f t="shared" si="67"/>
        <v>298</v>
      </c>
      <c r="R137" s="84">
        <f t="shared" si="67"/>
        <v>412</v>
      </c>
    </row>
    <row r="138" spans="3:19" x14ac:dyDescent="0.2">
      <c r="G138" s="83" t="s">
        <v>341</v>
      </c>
      <c r="H138" s="84">
        <f t="shared" ref="H138:R138" si="68">H10</f>
        <v>0</v>
      </c>
      <c r="I138" s="84">
        <f t="shared" si="68"/>
        <v>2093.877</v>
      </c>
      <c r="J138" s="84">
        <f t="shared" si="68"/>
        <v>9492.9259999999995</v>
      </c>
      <c r="K138" s="84">
        <f t="shared" si="68"/>
        <v>10292.876</v>
      </c>
      <c r="L138" s="84">
        <f t="shared" si="68"/>
        <v>10405.975</v>
      </c>
      <c r="M138" s="84">
        <f t="shared" si="68"/>
        <v>10553.853999999999</v>
      </c>
      <c r="N138" s="84">
        <f t="shared" si="68"/>
        <v>10579.853999999999</v>
      </c>
      <c r="O138" s="84">
        <f t="shared" si="68"/>
        <v>10480.865</v>
      </c>
      <c r="P138" s="84">
        <f t="shared" si="68"/>
        <v>10381.876</v>
      </c>
      <c r="Q138" s="84">
        <f t="shared" si="68"/>
        <v>10282.887000000001</v>
      </c>
      <c r="R138" s="84">
        <f t="shared" si="68"/>
        <v>10183.898000000001</v>
      </c>
    </row>
    <row r="139" spans="3:19" x14ac:dyDescent="0.2">
      <c r="G139" s="83" t="s">
        <v>342</v>
      </c>
      <c r="H139" s="84">
        <f t="shared" ref="H139:R140" si="69">H19</f>
        <v>0</v>
      </c>
      <c r="I139" s="84">
        <f t="shared" si="69"/>
        <v>55.875</v>
      </c>
      <c r="J139" s="84">
        <f t="shared" si="69"/>
        <v>76.986999999999995</v>
      </c>
      <c r="K139" s="84">
        <f t="shared" si="69"/>
        <v>113.575</v>
      </c>
      <c r="L139" s="84">
        <f t="shared" si="69"/>
        <v>116.371</v>
      </c>
      <c r="M139" s="84">
        <f t="shared" si="69"/>
        <v>409.47900000000004</v>
      </c>
      <c r="N139" s="84">
        <f t="shared" si="69"/>
        <v>241.90800000000002</v>
      </c>
      <c r="O139" s="84">
        <f t="shared" si="69"/>
        <v>126.173</v>
      </c>
      <c r="P139" s="84">
        <f t="shared" si="69"/>
        <v>116.935</v>
      </c>
      <c r="Q139" s="84">
        <f t="shared" si="69"/>
        <v>84</v>
      </c>
      <c r="R139" s="84">
        <f t="shared" si="69"/>
        <v>74</v>
      </c>
    </row>
    <row r="140" spans="3:19" x14ac:dyDescent="0.2">
      <c r="G140" s="83" t="s">
        <v>343</v>
      </c>
      <c r="H140" s="84">
        <f t="shared" si="69"/>
        <v>0</v>
      </c>
      <c r="I140" s="84">
        <f t="shared" si="69"/>
        <v>55.875</v>
      </c>
      <c r="J140" s="84">
        <f t="shared" si="69"/>
        <v>76.986999999999995</v>
      </c>
      <c r="K140" s="84">
        <f t="shared" si="69"/>
        <v>113.575</v>
      </c>
      <c r="L140" s="84">
        <f t="shared" si="69"/>
        <v>116.371</v>
      </c>
      <c r="M140" s="84">
        <f t="shared" si="69"/>
        <v>17.852</v>
      </c>
      <c r="N140" s="84">
        <f t="shared" si="69"/>
        <v>24.239000000000001</v>
      </c>
      <c r="O140" s="84">
        <f t="shared" si="69"/>
        <v>24.734999999999999</v>
      </c>
      <c r="P140" s="84">
        <f t="shared" si="69"/>
        <v>25.236999999999998</v>
      </c>
      <c r="Q140" s="84">
        <f t="shared" si="69"/>
        <v>27.934000000000001</v>
      </c>
      <c r="R140" s="84">
        <f t="shared" si="69"/>
        <v>25</v>
      </c>
    </row>
    <row r="141" spans="3:19" x14ac:dyDescent="0.2">
      <c r="G141" s="83" t="s">
        <v>344</v>
      </c>
      <c r="H141" s="84">
        <f t="shared" ref="H141:R141" si="70">H24</f>
        <v>0</v>
      </c>
      <c r="I141" s="84">
        <f t="shared" si="70"/>
        <v>0</v>
      </c>
      <c r="J141" s="84">
        <f t="shared" si="70"/>
        <v>0</v>
      </c>
      <c r="K141" s="84">
        <f t="shared" si="70"/>
        <v>0</v>
      </c>
      <c r="L141" s="84">
        <f t="shared" si="70"/>
        <v>0</v>
      </c>
      <c r="M141" s="84">
        <f t="shared" si="70"/>
        <v>102.148</v>
      </c>
      <c r="N141" s="84">
        <f t="shared" si="70"/>
        <v>77.908000000000001</v>
      </c>
      <c r="O141" s="84">
        <f t="shared" si="70"/>
        <v>53.173000000000002</v>
      </c>
      <c r="P141" s="84">
        <f t="shared" si="70"/>
        <v>27.934999999999999</v>
      </c>
      <c r="Q141" s="84">
        <f t="shared" si="70"/>
        <v>0</v>
      </c>
      <c r="R141" s="84">
        <f t="shared" si="70"/>
        <v>0</v>
      </c>
    </row>
    <row r="142" spans="3:19" x14ac:dyDescent="0.2">
      <c r="G142" s="83" t="s">
        <v>345</v>
      </c>
      <c r="H142" s="84">
        <f t="shared" ref="H142:R142" si="71">H27</f>
        <v>0</v>
      </c>
      <c r="I142" s="84">
        <f t="shared" si="71"/>
        <v>2084.7799999999997</v>
      </c>
      <c r="J142" s="84">
        <f t="shared" si="71"/>
        <v>9513.7549999999992</v>
      </c>
      <c r="K142" s="84">
        <f t="shared" si="71"/>
        <v>10360.761</v>
      </c>
      <c r="L142" s="84">
        <f t="shared" si="71"/>
        <v>10449.005000000001</v>
      </c>
      <c r="M142" s="84">
        <f t="shared" si="71"/>
        <v>10415.99</v>
      </c>
      <c r="N142" s="84">
        <f t="shared" si="71"/>
        <v>10408.335999999999</v>
      </c>
      <c r="O142" s="84">
        <f t="shared" si="71"/>
        <v>10444.335999999999</v>
      </c>
      <c r="P142" s="84">
        <f t="shared" si="71"/>
        <v>10474.335999999999</v>
      </c>
      <c r="Q142" s="84">
        <f t="shared" si="71"/>
        <v>10497.335999999999</v>
      </c>
      <c r="R142" s="84">
        <f t="shared" si="71"/>
        <v>10522.335999999999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753" priority="51" stopIfTrue="1" operator="greaterThan">
      <formula>$E$116</formula>
    </cfRule>
    <cfRule type="cellIs" dxfId="752" priority="52" stopIfTrue="1" operator="lessThanOrEqual">
      <formula>$E$116</formula>
    </cfRule>
  </conditionalFormatting>
  <conditionalFormatting sqref="H118:Q118">
    <cfRule type="cellIs" dxfId="751" priority="49" stopIfTrue="1" operator="lessThanOrEqual">
      <formula>$E$118</formula>
    </cfRule>
    <cfRule type="cellIs" dxfId="750" priority="50" stopIfTrue="1" operator="greaterThan">
      <formula>$E$118</formula>
    </cfRule>
  </conditionalFormatting>
  <conditionalFormatting sqref="H99:Q99">
    <cfRule type="cellIs" dxfId="749" priority="47" operator="greaterThan">
      <formula>$E$99</formula>
    </cfRule>
    <cfRule type="cellIs" dxfId="748" priority="48" operator="lessThanOrEqual">
      <formula>$E$99</formula>
    </cfRule>
  </conditionalFormatting>
  <conditionalFormatting sqref="H102:Q102">
    <cfRule type="cellIs" dxfId="747" priority="45" stopIfTrue="1" operator="greaterThanOrEqual">
      <formula>$E$102</formula>
    </cfRule>
    <cfRule type="cellIs" dxfId="746" priority="46" stopIfTrue="1" operator="lessThan">
      <formula>$E$102</formula>
    </cfRule>
  </conditionalFormatting>
  <conditionalFormatting sqref="H104:Q104">
    <cfRule type="cellIs" dxfId="745" priority="43" stopIfTrue="1" operator="lessThan">
      <formula>$E$104</formula>
    </cfRule>
    <cfRule type="cellIs" dxfId="744" priority="44" stopIfTrue="1" operator="greaterThanOrEqual">
      <formula>$E$104</formula>
    </cfRule>
  </conditionalFormatting>
  <conditionalFormatting sqref="H103:Q103">
    <cfRule type="cellIs" dxfId="743" priority="41" stopIfTrue="1" operator="greaterThan">
      <formula>$E$103</formula>
    </cfRule>
    <cfRule type="cellIs" dxfId="742" priority="42" stopIfTrue="1" operator="lessThanOrEqual">
      <formula>$E$103</formula>
    </cfRule>
  </conditionalFormatting>
  <conditionalFormatting sqref="H100:Q100">
    <cfRule type="cellIs" dxfId="741" priority="30" stopIfTrue="1" operator="between">
      <formula>$D$100</formula>
      <formula>$E$100</formula>
    </cfRule>
    <cfRule type="cellIs" dxfId="740" priority="39" stopIfTrue="1" operator="lessThanOrEqual">
      <formula>$D$100</formula>
    </cfRule>
    <cfRule type="cellIs" dxfId="739" priority="40" stopIfTrue="1" operator="greaterThan">
      <formula>$E$100</formula>
    </cfRule>
  </conditionalFormatting>
  <conditionalFormatting sqref="H117:Q117">
    <cfRule type="cellIs" dxfId="738" priority="37" stopIfTrue="1" operator="greaterThan">
      <formula>$E$117</formula>
    </cfRule>
    <cfRule type="cellIs" dxfId="737" priority="38" stopIfTrue="1" operator="lessThanOrEqual">
      <formula>$E$117</formula>
    </cfRule>
  </conditionalFormatting>
  <conditionalFormatting sqref="H107:Q107">
    <cfRule type="cellIs" dxfId="736" priority="35" stopIfTrue="1" operator="greaterThan">
      <formula>$E$107</formula>
    </cfRule>
    <cfRule type="cellIs" dxfId="735" priority="36" stopIfTrue="1" operator="lessThanOrEqual">
      <formula>$E$107</formula>
    </cfRule>
  </conditionalFormatting>
  <conditionalFormatting sqref="H108:Q108">
    <cfRule type="cellIs" dxfId="734" priority="33" stopIfTrue="1" operator="lessThan">
      <formula>$E$108</formula>
    </cfRule>
    <cfRule type="cellIs" dxfId="733" priority="34" stopIfTrue="1" operator="greaterThanOrEqual">
      <formula>$E$108</formula>
    </cfRule>
  </conditionalFormatting>
  <conditionalFormatting sqref="H93:Q93">
    <cfRule type="cellIs" dxfId="732" priority="53" stopIfTrue="1" operator="lessThan">
      <formula>$D$93</formula>
    </cfRule>
    <cfRule type="cellIs" dxfId="731" priority="54" stopIfTrue="1" operator="between">
      <formula>$D$93</formula>
      <formula>$E$93</formula>
    </cfRule>
    <cfRule type="cellIs" dxfId="730" priority="55" stopIfTrue="1" operator="greaterThan">
      <formula>$E$93</formula>
    </cfRule>
  </conditionalFormatting>
  <conditionalFormatting sqref="H114:Q114">
    <cfRule type="cellIs" dxfId="729" priority="56" stopIfTrue="1" operator="lessThan">
      <formula>$E$114</formula>
    </cfRule>
    <cfRule type="cellIs" dxfId="728" priority="57" stopIfTrue="1" operator="between">
      <formula>$D$114</formula>
      <formula>$E$114</formula>
    </cfRule>
    <cfRule type="cellIs" dxfId="727" priority="58" stopIfTrue="1" operator="greaterThanOrEqual">
      <formula>$D$114</formula>
    </cfRule>
  </conditionalFormatting>
  <conditionalFormatting sqref="H90:Q90">
    <cfRule type="cellIs" dxfId="726" priority="31" stopIfTrue="1" operator="lessThan">
      <formula>$E$90</formula>
    </cfRule>
    <cfRule type="cellIs" dxfId="725" priority="32" stopIfTrue="1" operator="greaterThan">
      <formula>$E$90</formula>
    </cfRule>
  </conditionalFormatting>
  <conditionalFormatting sqref="R116">
    <cfRule type="cellIs" dxfId="724" priority="22" stopIfTrue="1" operator="greaterThan">
      <formula>$E$116</formula>
    </cfRule>
    <cfRule type="cellIs" dxfId="723" priority="23" stopIfTrue="1" operator="lessThanOrEqual">
      <formula>$E$116</formula>
    </cfRule>
  </conditionalFormatting>
  <conditionalFormatting sqref="R118">
    <cfRule type="cellIs" dxfId="722" priority="20" stopIfTrue="1" operator="lessThanOrEqual">
      <formula>$E$118</formula>
    </cfRule>
    <cfRule type="cellIs" dxfId="721" priority="21" stopIfTrue="1" operator="greaterThan">
      <formula>$E$118</formula>
    </cfRule>
  </conditionalFormatting>
  <conditionalFormatting sqref="R99">
    <cfRule type="cellIs" dxfId="720" priority="18" operator="greaterThan">
      <formula>$E$99</formula>
    </cfRule>
    <cfRule type="cellIs" dxfId="719" priority="19" operator="lessThanOrEqual">
      <formula>$E$99</formula>
    </cfRule>
  </conditionalFormatting>
  <conditionalFormatting sqref="R102">
    <cfRule type="cellIs" dxfId="718" priority="16" stopIfTrue="1" operator="greaterThanOrEqual">
      <formula>$E$102</formula>
    </cfRule>
    <cfRule type="cellIs" dxfId="717" priority="17" stopIfTrue="1" operator="lessThan">
      <formula>$E$102</formula>
    </cfRule>
  </conditionalFormatting>
  <conditionalFormatting sqref="R104">
    <cfRule type="cellIs" dxfId="716" priority="14" stopIfTrue="1" operator="lessThan">
      <formula>$E$104</formula>
    </cfRule>
    <cfRule type="cellIs" dxfId="715" priority="15" stopIfTrue="1" operator="greaterThanOrEqual">
      <formula>$E$104</formula>
    </cfRule>
  </conditionalFormatting>
  <conditionalFormatting sqref="R103">
    <cfRule type="cellIs" dxfId="714" priority="12" stopIfTrue="1" operator="greaterThan">
      <formula>$E$103</formula>
    </cfRule>
    <cfRule type="cellIs" dxfId="713" priority="13" stopIfTrue="1" operator="lessThanOrEqual">
      <formula>$E$103</formula>
    </cfRule>
  </conditionalFormatting>
  <conditionalFormatting sqref="R100">
    <cfRule type="cellIs" dxfId="712" priority="1" stopIfTrue="1" operator="between">
      <formula>$D$100</formula>
      <formula>$E$100</formula>
    </cfRule>
    <cfRule type="cellIs" dxfId="711" priority="10" stopIfTrue="1" operator="lessThanOrEqual">
      <formula>$D$100</formula>
    </cfRule>
    <cfRule type="cellIs" dxfId="710" priority="11" stopIfTrue="1" operator="greaterThan">
      <formula>$E$100</formula>
    </cfRule>
  </conditionalFormatting>
  <conditionalFormatting sqref="R117">
    <cfRule type="cellIs" dxfId="709" priority="8" stopIfTrue="1" operator="greaterThan">
      <formula>$E$117</formula>
    </cfRule>
    <cfRule type="cellIs" dxfId="708" priority="9" stopIfTrue="1" operator="lessThanOrEqual">
      <formula>$E$117</formula>
    </cfRule>
  </conditionalFormatting>
  <conditionalFormatting sqref="R107">
    <cfRule type="cellIs" dxfId="707" priority="6" stopIfTrue="1" operator="greaterThan">
      <formula>$E$107</formula>
    </cfRule>
    <cfRule type="cellIs" dxfId="706" priority="7" stopIfTrue="1" operator="lessThanOrEqual">
      <formula>$E$107</formula>
    </cfRule>
  </conditionalFormatting>
  <conditionalFormatting sqref="R108">
    <cfRule type="cellIs" dxfId="705" priority="4" stopIfTrue="1" operator="lessThan">
      <formula>$E$108</formula>
    </cfRule>
    <cfRule type="cellIs" dxfId="704" priority="5" stopIfTrue="1" operator="greaterThanOrEqual">
      <formula>$E$108</formula>
    </cfRule>
  </conditionalFormatting>
  <conditionalFormatting sqref="R93">
    <cfRule type="cellIs" dxfId="703" priority="24" stopIfTrue="1" operator="lessThan">
      <formula>$D$93</formula>
    </cfRule>
    <cfRule type="cellIs" dxfId="702" priority="25" stopIfTrue="1" operator="between">
      <formula>$D$93</formula>
      <formula>$E$93</formula>
    </cfRule>
    <cfRule type="cellIs" dxfId="701" priority="26" stopIfTrue="1" operator="greaterThan">
      <formula>$E$93</formula>
    </cfRule>
  </conditionalFormatting>
  <conditionalFormatting sqref="R114">
    <cfRule type="cellIs" dxfId="700" priority="27" stopIfTrue="1" operator="lessThan">
      <formula>$E$114</formula>
    </cfRule>
    <cfRule type="cellIs" dxfId="699" priority="28" stopIfTrue="1" operator="between">
      <formula>$D$114</formula>
      <formula>$E$114</formula>
    </cfRule>
    <cfRule type="cellIs" dxfId="698" priority="29" stopIfTrue="1" operator="greaterThanOrEqual">
      <formula>$D$114</formula>
    </cfRule>
  </conditionalFormatting>
  <conditionalFormatting sqref="R90">
    <cfRule type="cellIs" dxfId="697" priority="2" stopIfTrue="1" operator="lessThan">
      <formula>$E$90</formula>
    </cfRule>
    <cfRule type="cellIs" dxfId="696" priority="3" stopIfTrue="1" operator="greaterThan">
      <formula>$E$90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13.7109375" style="19" customWidth="1"/>
    <col min="4" max="4" width="3" style="19" customWidth="1"/>
    <col min="5" max="5" width="5.140625" style="17" bestFit="1" customWidth="1"/>
    <col min="6" max="6" width="3.28515625" style="16" customWidth="1"/>
    <col min="7" max="7" width="29.42578125" style="48" customWidth="1"/>
    <col min="8" max="8" width="10.42578125" style="4" customWidth="1"/>
    <col min="9" max="12" width="8.7109375" style="4" bestFit="1" customWidth="1"/>
    <col min="13" max="13" width="10.140625" style="4" customWidth="1"/>
    <col min="14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13.7109375" style="4" customWidth="1"/>
    <col min="260" max="260" width="3" style="4" customWidth="1"/>
    <col min="261" max="261" width="5.140625" style="4" bestFit="1" customWidth="1"/>
    <col min="262" max="262" width="3.28515625" style="4" customWidth="1"/>
    <col min="263" max="263" width="29.42578125" style="4" customWidth="1"/>
    <col min="264" max="264" width="10.42578125" style="4" customWidth="1"/>
    <col min="265" max="268" width="8.7109375" style="4" bestFit="1" customWidth="1"/>
    <col min="269" max="269" width="10.140625" style="4" customWidth="1"/>
    <col min="270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13.7109375" style="4" customWidth="1"/>
    <col min="516" max="516" width="3" style="4" customWidth="1"/>
    <col min="517" max="517" width="5.140625" style="4" bestFit="1" customWidth="1"/>
    <col min="518" max="518" width="3.28515625" style="4" customWidth="1"/>
    <col min="519" max="519" width="29.42578125" style="4" customWidth="1"/>
    <col min="520" max="520" width="10.42578125" style="4" customWidth="1"/>
    <col min="521" max="524" width="8.7109375" style="4" bestFit="1" customWidth="1"/>
    <col min="525" max="525" width="10.140625" style="4" customWidth="1"/>
    <col min="526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13.7109375" style="4" customWidth="1"/>
    <col min="772" max="772" width="3" style="4" customWidth="1"/>
    <col min="773" max="773" width="5.140625" style="4" bestFit="1" customWidth="1"/>
    <col min="774" max="774" width="3.28515625" style="4" customWidth="1"/>
    <col min="775" max="775" width="29.42578125" style="4" customWidth="1"/>
    <col min="776" max="776" width="10.42578125" style="4" customWidth="1"/>
    <col min="777" max="780" width="8.7109375" style="4" bestFit="1" customWidth="1"/>
    <col min="781" max="781" width="10.140625" style="4" customWidth="1"/>
    <col min="782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13.7109375" style="4" customWidth="1"/>
    <col min="1028" max="1028" width="3" style="4" customWidth="1"/>
    <col min="1029" max="1029" width="5.140625" style="4" bestFit="1" customWidth="1"/>
    <col min="1030" max="1030" width="3.28515625" style="4" customWidth="1"/>
    <col min="1031" max="1031" width="29.42578125" style="4" customWidth="1"/>
    <col min="1032" max="1032" width="10.42578125" style="4" customWidth="1"/>
    <col min="1033" max="1036" width="8.7109375" style="4" bestFit="1" customWidth="1"/>
    <col min="1037" max="1037" width="10.140625" style="4" customWidth="1"/>
    <col min="1038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13.7109375" style="4" customWidth="1"/>
    <col min="1284" max="1284" width="3" style="4" customWidth="1"/>
    <col min="1285" max="1285" width="5.140625" style="4" bestFit="1" customWidth="1"/>
    <col min="1286" max="1286" width="3.28515625" style="4" customWidth="1"/>
    <col min="1287" max="1287" width="29.42578125" style="4" customWidth="1"/>
    <col min="1288" max="1288" width="10.42578125" style="4" customWidth="1"/>
    <col min="1289" max="1292" width="8.7109375" style="4" bestFit="1" customWidth="1"/>
    <col min="1293" max="1293" width="10.140625" style="4" customWidth="1"/>
    <col min="1294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13.7109375" style="4" customWidth="1"/>
    <col min="1540" max="1540" width="3" style="4" customWidth="1"/>
    <col min="1541" max="1541" width="5.140625" style="4" bestFit="1" customWidth="1"/>
    <col min="1542" max="1542" width="3.28515625" style="4" customWidth="1"/>
    <col min="1543" max="1543" width="29.42578125" style="4" customWidth="1"/>
    <col min="1544" max="1544" width="10.42578125" style="4" customWidth="1"/>
    <col min="1545" max="1548" width="8.7109375" style="4" bestFit="1" customWidth="1"/>
    <col min="1549" max="1549" width="10.140625" style="4" customWidth="1"/>
    <col min="1550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13.7109375" style="4" customWidth="1"/>
    <col min="1796" max="1796" width="3" style="4" customWidth="1"/>
    <col min="1797" max="1797" width="5.140625" style="4" bestFit="1" customWidth="1"/>
    <col min="1798" max="1798" width="3.28515625" style="4" customWidth="1"/>
    <col min="1799" max="1799" width="29.42578125" style="4" customWidth="1"/>
    <col min="1800" max="1800" width="10.42578125" style="4" customWidth="1"/>
    <col min="1801" max="1804" width="8.7109375" style="4" bestFit="1" customWidth="1"/>
    <col min="1805" max="1805" width="10.140625" style="4" customWidth="1"/>
    <col min="1806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13.7109375" style="4" customWidth="1"/>
    <col min="2052" max="2052" width="3" style="4" customWidth="1"/>
    <col min="2053" max="2053" width="5.140625" style="4" bestFit="1" customWidth="1"/>
    <col min="2054" max="2054" width="3.28515625" style="4" customWidth="1"/>
    <col min="2055" max="2055" width="29.42578125" style="4" customWidth="1"/>
    <col min="2056" max="2056" width="10.42578125" style="4" customWidth="1"/>
    <col min="2057" max="2060" width="8.7109375" style="4" bestFit="1" customWidth="1"/>
    <col min="2061" max="2061" width="10.140625" style="4" customWidth="1"/>
    <col min="2062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13.7109375" style="4" customWidth="1"/>
    <col min="2308" max="2308" width="3" style="4" customWidth="1"/>
    <col min="2309" max="2309" width="5.140625" style="4" bestFit="1" customWidth="1"/>
    <col min="2310" max="2310" width="3.28515625" style="4" customWidth="1"/>
    <col min="2311" max="2311" width="29.42578125" style="4" customWidth="1"/>
    <col min="2312" max="2312" width="10.42578125" style="4" customWidth="1"/>
    <col min="2313" max="2316" width="8.7109375" style="4" bestFit="1" customWidth="1"/>
    <col min="2317" max="2317" width="10.140625" style="4" customWidth="1"/>
    <col min="2318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13.7109375" style="4" customWidth="1"/>
    <col min="2564" max="2564" width="3" style="4" customWidth="1"/>
    <col min="2565" max="2565" width="5.140625" style="4" bestFit="1" customWidth="1"/>
    <col min="2566" max="2566" width="3.28515625" style="4" customWidth="1"/>
    <col min="2567" max="2567" width="29.42578125" style="4" customWidth="1"/>
    <col min="2568" max="2568" width="10.42578125" style="4" customWidth="1"/>
    <col min="2569" max="2572" width="8.7109375" style="4" bestFit="1" customWidth="1"/>
    <col min="2573" max="2573" width="10.140625" style="4" customWidth="1"/>
    <col min="2574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13.7109375" style="4" customWidth="1"/>
    <col min="2820" max="2820" width="3" style="4" customWidth="1"/>
    <col min="2821" max="2821" width="5.140625" style="4" bestFit="1" customWidth="1"/>
    <col min="2822" max="2822" width="3.28515625" style="4" customWidth="1"/>
    <col min="2823" max="2823" width="29.42578125" style="4" customWidth="1"/>
    <col min="2824" max="2824" width="10.42578125" style="4" customWidth="1"/>
    <col min="2825" max="2828" width="8.7109375" style="4" bestFit="1" customWidth="1"/>
    <col min="2829" max="2829" width="10.140625" style="4" customWidth="1"/>
    <col min="2830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13.7109375" style="4" customWidth="1"/>
    <col min="3076" max="3076" width="3" style="4" customWidth="1"/>
    <col min="3077" max="3077" width="5.140625" style="4" bestFit="1" customWidth="1"/>
    <col min="3078" max="3078" width="3.28515625" style="4" customWidth="1"/>
    <col min="3079" max="3079" width="29.42578125" style="4" customWidth="1"/>
    <col min="3080" max="3080" width="10.42578125" style="4" customWidth="1"/>
    <col min="3081" max="3084" width="8.7109375" style="4" bestFit="1" customWidth="1"/>
    <col min="3085" max="3085" width="10.140625" style="4" customWidth="1"/>
    <col min="3086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13.7109375" style="4" customWidth="1"/>
    <col min="3332" max="3332" width="3" style="4" customWidth="1"/>
    <col min="3333" max="3333" width="5.140625" style="4" bestFit="1" customWidth="1"/>
    <col min="3334" max="3334" width="3.28515625" style="4" customWidth="1"/>
    <col min="3335" max="3335" width="29.42578125" style="4" customWidth="1"/>
    <col min="3336" max="3336" width="10.42578125" style="4" customWidth="1"/>
    <col min="3337" max="3340" width="8.7109375" style="4" bestFit="1" customWidth="1"/>
    <col min="3341" max="3341" width="10.140625" style="4" customWidth="1"/>
    <col min="3342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13.7109375" style="4" customWidth="1"/>
    <col min="3588" max="3588" width="3" style="4" customWidth="1"/>
    <col min="3589" max="3589" width="5.140625" style="4" bestFit="1" customWidth="1"/>
    <col min="3590" max="3590" width="3.28515625" style="4" customWidth="1"/>
    <col min="3591" max="3591" width="29.42578125" style="4" customWidth="1"/>
    <col min="3592" max="3592" width="10.42578125" style="4" customWidth="1"/>
    <col min="3593" max="3596" width="8.7109375" style="4" bestFit="1" customWidth="1"/>
    <col min="3597" max="3597" width="10.140625" style="4" customWidth="1"/>
    <col min="3598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13.7109375" style="4" customWidth="1"/>
    <col min="3844" max="3844" width="3" style="4" customWidth="1"/>
    <col min="3845" max="3845" width="5.140625" style="4" bestFit="1" customWidth="1"/>
    <col min="3846" max="3846" width="3.28515625" style="4" customWidth="1"/>
    <col min="3847" max="3847" width="29.42578125" style="4" customWidth="1"/>
    <col min="3848" max="3848" width="10.42578125" style="4" customWidth="1"/>
    <col min="3849" max="3852" width="8.7109375" style="4" bestFit="1" customWidth="1"/>
    <col min="3853" max="3853" width="10.140625" style="4" customWidth="1"/>
    <col min="3854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13.7109375" style="4" customWidth="1"/>
    <col min="4100" max="4100" width="3" style="4" customWidth="1"/>
    <col min="4101" max="4101" width="5.140625" style="4" bestFit="1" customWidth="1"/>
    <col min="4102" max="4102" width="3.28515625" style="4" customWidth="1"/>
    <col min="4103" max="4103" width="29.42578125" style="4" customWidth="1"/>
    <col min="4104" max="4104" width="10.42578125" style="4" customWidth="1"/>
    <col min="4105" max="4108" width="8.7109375" style="4" bestFit="1" customWidth="1"/>
    <col min="4109" max="4109" width="10.140625" style="4" customWidth="1"/>
    <col min="4110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13.7109375" style="4" customWidth="1"/>
    <col min="4356" max="4356" width="3" style="4" customWidth="1"/>
    <col min="4357" max="4357" width="5.140625" style="4" bestFit="1" customWidth="1"/>
    <col min="4358" max="4358" width="3.28515625" style="4" customWidth="1"/>
    <col min="4359" max="4359" width="29.42578125" style="4" customWidth="1"/>
    <col min="4360" max="4360" width="10.42578125" style="4" customWidth="1"/>
    <col min="4361" max="4364" width="8.7109375" style="4" bestFit="1" customWidth="1"/>
    <col min="4365" max="4365" width="10.140625" style="4" customWidth="1"/>
    <col min="4366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13.7109375" style="4" customWidth="1"/>
    <col min="4612" max="4612" width="3" style="4" customWidth="1"/>
    <col min="4613" max="4613" width="5.140625" style="4" bestFit="1" customWidth="1"/>
    <col min="4614" max="4614" width="3.28515625" style="4" customWidth="1"/>
    <col min="4615" max="4615" width="29.42578125" style="4" customWidth="1"/>
    <col min="4616" max="4616" width="10.42578125" style="4" customWidth="1"/>
    <col min="4617" max="4620" width="8.7109375" style="4" bestFit="1" customWidth="1"/>
    <col min="4621" max="4621" width="10.140625" style="4" customWidth="1"/>
    <col min="4622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13.7109375" style="4" customWidth="1"/>
    <col min="4868" max="4868" width="3" style="4" customWidth="1"/>
    <col min="4869" max="4869" width="5.140625" style="4" bestFit="1" customWidth="1"/>
    <col min="4870" max="4870" width="3.28515625" style="4" customWidth="1"/>
    <col min="4871" max="4871" width="29.42578125" style="4" customWidth="1"/>
    <col min="4872" max="4872" width="10.42578125" style="4" customWidth="1"/>
    <col min="4873" max="4876" width="8.7109375" style="4" bestFit="1" customWidth="1"/>
    <col min="4877" max="4877" width="10.140625" style="4" customWidth="1"/>
    <col min="4878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13.7109375" style="4" customWidth="1"/>
    <col min="5124" max="5124" width="3" style="4" customWidth="1"/>
    <col min="5125" max="5125" width="5.140625" style="4" bestFit="1" customWidth="1"/>
    <col min="5126" max="5126" width="3.28515625" style="4" customWidth="1"/>
    <col min="5127" max="5127" width="29.42578125" style="4" customWidth="1"/>
    <col min="5128" max="5128" width="10.42578125" style="4" customWidth="1"/>
    <col min="5129" max="5132" width="8.7109375" style="4" bestFit="1" customWidth="1"/>
    <col min="5133" max="5133" width="10.140625" style="4" customWidth="1"/>
    <col min="5134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13.7109375" style="4" customWidth="1"/>
    <col min="5380" max="5380" width="3" style="4" customWidth="1"/>
    <col min="5381" max="5381" width="5.140625" style="4" bestFit="1" customWidth="1"/>
    <col min="5382" max="5382" width="3.28515625" style="4" customWidth="1"/>
    <col min="5383" max="5383" width="29.42578125" style="4" customWidth="1"/>
    <col min="5384" max="5384" width="10.42578125" style="4" customWidth="1"/>
    <col min="5385" max="5388" width="8.7109375" style="4" bestFit="1" customWidth="1"/>
    <col min="5389" max="5389" width="10.140625" style="4" customWidth="1"/>
    <col min="5390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13.7109375" style="4" customWidth="1"/>
    <col min="5636" max="5636" width="3" style="4" customWidth="1"/>
    <col min="5637" max="5637" width="5.140625" style="4" bestFit="1" customWidth="1"/>
    <col min="5638" max="5638" width="3.28515625" style="4" customWidth="1"/>
    <col min="5639" max="5639" width="29.42578125" style="4" customWidth="1"/>
    <col min="5640" max="5640" width="10.42578125" style="4" customWidth="1"/>
    <col min="5641" max="5644" width="8.7109375" style="4" bestFit="1" customWidth="1"/>
    <col min="5645" max="5645" width="10.140625" style="4" customWidth="1"/>
    <col min="5646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13.7109375" style="4" customWidth="1"/>
    <col min="5892" max="5892" width="3" style="4" customWidth="1"/>
    <col min="5893" max="5893" width="5.140625" style="4" bestFit="1" customWidth="1"/>
    <col min="5894" max="5894" width="3.28515625" style="4" customWidth="1"/>
    <col min="5895" max="5895" width="29.42578125" style="4" customWidth="1"/>
    <col min="5896" max="5896" width="10.42578125" style="4" customWidth="1"/>
    <col min="5897" max="5900" width="8.7109375" style="4" bestFit="1" customWidth="1"/>
    <col min="5901" max="5901" width="10.140625" style="4" customWidth="1"/>
    <col min="5902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13.7109375" style="4" customWidth="1"/>
    <col min="6148" max="6148" width="3" style="4" customWidth="1"/>
    <col min="6149" max="6149" width="5.140625" style="4" bestFit="1" customWidth="1"/>
    <col min="6150" max="6150" width="3.28515625" style="4" customWidth="1"/>
    <col min="6151" max="6151" width="29.42578125" style="4" customWidth="1"/>
    <col min="6152" max="6152" width="10.42578125" style="4" customWidth="1"/>
    <col min="6153" max="6156" width="8.7109375" style="4" bestFit="1" customWidth="1"/>
    <col min="6157" max="6157" width="10.140625" style="4" customWidth="1"/>
    <col min="6158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13.7109375" style="4" customWidth="1"/>
    <col min="6404" max="6404" width="3" style="4" customWidth="1"/>
    <col min="6405" max="6405" width="5.140625" style="4" bestFit="1" customWidth="1"/>
    <col min="6406" max="6406" width="3.28515625" style="4" customWidth="1"/>
    <col min="6407" max="6407" width="29.42578125" style="4" customWidth="1"/>
    <col min="6408" max="6408" width="10.42578125" style="4" customWidth="1"/>
    <col min="6409" max="6412" width="8.7109375" style="4" bestFit="1" customWidth="1"/>
    <col min="6413" max="6413" width="10.140625" style="4" customWidth="1"/>
    <col min="6414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13.7109375" style="4" customWidth="1"/>
    <col min="6660" max="6660" width="3" style="4" customWidth="1"/>
    <col min="6661" max="6661" width="5.140625" style="4" bestFit="1" customWidth="1"/>
    <col min="6662" max="6662" width="3.28515625" style="4" customWidth="1"/>
    <col min="6663" max="6663" width="29.42578125" style="4" customWidth="1"/>
    <col min="6664" max="6664" width="10.42578125" style="4" customWidth="1"/>
    <col min="6665" max="6668" width="8.7109375" style="4" bestFit="1" customWidth="1"/>
    <col min="6669" max="6669" width="10.140625" style="4" customWidth="1"/>
    <col min="6670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13.7109375" style="4" customWidth="1"/>
    <col min="6916" max="6916" width="3" style="4" customWidth="1"/>
    <col min="6917" max="6917" width="5.140625" style="4" bestFit="1" customWidth="1"/>
    <col min="6918" max="6918" width="3.28515625" style="4" customWidth="1"/>
    <col min="6919" max="6919" width="29.42578125" style="4" customWidth="1"/>
    <col min="6920" max="6920" width="10.42578125" style="4" customWidth="1"/>
    <col min="6921" max="6924" width="8.7109375" style="4" bestFit="1" customWidth="1"/>
    <col min="6925" max="6925" width="10.140625" style="4" customWidth="1"/>
    <col min="6926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13.7109375" style="4" customWidth="1"/>
    <col min="7172" max="7172" width="3" style="4" customWidth="1"/>
    <col min="7173" max="7173" width="5.140625" style="4" bestFit="1" customWidth="1"/>
    <col min="7174" max="7174" width="3.28515625" style="4" customWidth="1"/>
    <col min="7175" max="7175" width="29.42578125" style="4" customWidth="1"/>
    <col min="7176" max="7176" width="10.42578125" style="4" customWidth="1"/>
    <col min="7177" max="7180" width="8.7109375" style="4" bestFit="1" customWidth="1"/>
    <col min="7181" max="7181" width="10.140625" style="4" customWidth="1"/>
    <col min="7182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13.7109375" style="4" customWidth="1"/>
    <col min="7428" max="7428" width="3" style="4" customWidth="1"/>
    <col min="7429" max="7429" width="5.140625" style="4" bestFit="1" customWidth="1"/>
    <col min="7430" max="7430" width="3.28515625" style="4" customWidth="1"/>
    <col min="7431" max="7431" width="29.42578125" style="4" customWidth="1"/>
    <col min="7432" max="7432" width="10.42578125" style="4" customWidth="1"/>
    <col min="7433" max="7436" width="8.7109375" style="4" bestFit="1" customWidth="1"/>
    <col min="7437" max="7437" width="10.140625" style="4" customWidth="1"/>
    <col min="7438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13.7109375" style="4" customWidth="1"/>
    <col min="7684" max="7684" width="3" style="4" customWidth="1"/>
    <col min="7685" max="7685" width="5.140625" style="4" bestFit="1" customWidth="1"/>
    <col min="7686" max="7686" width="3.28515625" style="4" customWidth="1"/>
    <col min="7687" max="7687" width="29.42578125" style="4" customWidth="1"/>
    <col min="7688" max="7688" width="10.42578125" style="4" customWidth="1"/>
    <col min="7689" max="7692" width="8.7109375" style="4" bestFit="1" customWidth="1"/>
    <col min="7693" max="7693" width="10.140625" style="4" customWidth="1"/>
    <col min="7694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13.7109375" style="4" customWidth="1"/>
    <col min="7940" max="7940" width="3" style="4" customWidth="1"/>
    <col min="7941" max="7941" width="5.140625" style="4" bestFit="1" customWidth="1"/>
    <col min="7942" max="7942" width="3.28515625" style="4" customWidth="1"/>
    <col min="7943" max="7943" width="29.42578125" style="4" customWidth="1"/>
    <col min="7944" max="7944" width="10.42578125" style="4" customWidth="1"/>
    <col min="7945" max="7948" width="8.7109375" style="4" bestFit="1" customWidth="1"/>
    <col min="7949" max="7949" width="10.140625" style="4" customWidth="1"/>
    <col min="7950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13.7109375" style="4" customWidth="1"/>
    <col min="8196" max="8196" width="3" style="4" customWidth="1"/>
    <col min="8197" max="8197" width="5.140625" style="4" bestFit="1" customWidth="1"/>
    <col min="8198" max="8198" width="3.28515625" style="4" customWidth="1"/>
    <col min="8199" max="8199" width="29.42578125" style="4" customWidth="1"/>
    <col min="8200" max="8200" width="10.42578125" style="4" customWidth="1"/>
    <col min="8201" max="8204" width="8.7109375" style="4" bestFit="1" customWidth="1"/>
    <col min="8205" max="8205" width="10.140625" style="4" customWidth="1"/>
    <col min="8206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13.7109375" style="4" customWidth="1"/>
    <col min="8452" max="8452" width="3" style="4" customWidth="1"/>
    <col min="8453" max="8453" width="5.140625" style="4" bestFit="1" customWidth="1"/>
    <col min="8454" max="8454" width="3.28515625" style="4" customWidth="1"/>
    <col min="8455" max="8455" width="29.42578125" style="4" customWidth="1"/>
    <col min="8456" max="8456" width="10.42578125" style="4" customWidth="1"/>
    <col min="8457" max="8460" width="8.7109375" style="4" bestFit="1" customWidth="1"/>
    <col min="8461" max="8461" width="10.140625" style="4" customWidth="1"/>
    <col min="8462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13.7109375" style="4" customWidth="1"/>
    <col min="8708" max="8708" width="3" style="4" customWidth="1"/>
    <col min="8709" max="8709" width="5.140625" style="4" bestFit="1" customWidth="1"/>
    <col min="8710" max="8710" width="3.28515625" style="4" customWidth="1"/>
    <col min="8711" max="8711" width="29.42578125" style="4" customWidth="1"/>
    <col min="8712" max="8712" width="10.42578125" style="4" customWidth="1"/>
    <col min="8713" max="8716" width="8.7109375" style="4" bestFit="1" customWidth="1"/>
    <col min="8717" max="8717" width="10.140625" style="4" customWidth="1"/>
    <col min="8718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13.7109375" style="4" customWidth="1"/>
    <col min="8964" max="8964" width="3" style="4" customWidth="1"/>
    <col min="8965" max="8965" width="5.140625" style="4" bestFit="1" customWidth="1"/>
    <col min="8966" max="8966" width="3.28515625" style="4" customWidth="1"/>
    <col min="8967" max="8967" width="29.42578125" style="4" customWidth="1"/>
    <col min="8968" max="8968" width="10.42578125" style="4" customWidth="1"/>
    <col min="8969" max="8972" width="8.7109375" style="4" bestFit="1" customWidth="1"/>
    <col min="8973" max="8973" width="10.140625" style="4" customWidth="1"/>
    <col min="8974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13.7109375" style="4" customWidth="1"/>
    <col min="9220" max="9220" width="3" style="4" customWidth="1"/>
    <col min="9221" max="9221" width="5.140625" style="4" bestFit="1" customWidth="1"/>
    <col min="9222" max="9222" width="3.28515625" style="4" customWidth="1"/>
    <col min="9223" max="9223" width="29.42578125" style="4" customWidth="1"/>
    <col min="9224" max="9224" width="10.42578125" style="4" customWidth="1"/>
    <col min="9225" max="9228" width="8.7109375" style="4" bestFit="1" customWidth="1"/>
    <col min="9229" max="9229" width="10.140625" style="4" customWidth="1"/>
    <col min="9230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13.7109375" style="4" customWidth="1"/>
    <col min="9476" max="9476" width="3" style="4" customWidth="1"/>
    <col min="9477" max="9477" width="5.140625" style="4" bestFit="1" customWidth="1"/>
    <col min="9478" max="9478" width="3.28515625" style="4" customWidth="1"/>
    <col min="9479" max="9479" width="29.42578125" style="4" customWidth="1"/>
    <col min="9480" max="9480" width="10.42578125" style="4" customWidth="1"/>
    <col min="9481" max="9484" width="8.7109375" style="4" bestFit="1" customWidth="1"/>
    <col min="9485" max="9485" width="10.140625" style="4" customWidth="1"/>
    <col min="9486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13.7109375" style="4" customWidth="1"/>
    <col min="9732" max="9732" width="3" style="4" customWidth="1"/>
    <col min="9733" max="9733" width="5.140625" style="4" bestFit="1" customWidth="1"/>
    <col min="9734" max="9734" width="3.28515625" style="4" customWidth="1"/>
    <col min="9735" max="9735" width="29.42578125" style="4" customWidth="1"/>
    <col min="9736" max="9736" width="10.42578125" style="4" customWidth="1"/>
    <col min="9737" max="9740" width="8.7109375" style="4" bestFit="1" customWidth="1"/>
    <col min="9741" max="9741" width="10.140625" style="4" customWidth="1"/>
    <col min="9742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13.7109375" style="4" customWidth="1"/>
    <col min="9988" max="9988" width="3" style="4" customWidth="1"/>
    <col min="9989" max="9989" width="5.140625" style="4" bestFit="1" customWidth="1"/>
    <col min="9990" max="9990" width="3.28515625" style="4" customWidth="1"/>
    <col min="9991" max="9991" width="29.42578125" style="4" customWidth="1"/>
    <col min="9992" max="9992" width="10.42578125" style="4" customWidth="1"/>
    <col min="9993" max="9996" width="8.7109375" style="4" bestFit="1" customWidth="1"/>
    <col min="9997" max="9997" width="10.140625" style="4" customWidth="1"/>
    <col min="9998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13.7109375" style="4" customWidth="1"/>
    <col min="10244" max="10244" width="3" style="4" customWidth="1"/>
    <col min="10245" max="10245" width="5.140625" style="4" bestFit="1" customWidth="1"/>
    <col min="10246" max="10246" width="3.28515625" style="4" customWidth="1"/>
    <col min="10247" max="10247" width="29.42578125" style="4" customWidth="1"/>
    <col min="10248" max="10248" width="10.42578125" style="4" customWidth="1"/>
    <col min="10249" max="10252" width="8.7109375" style="4" bestFit="1" customWidth="1"/>
    <col min="10253" max="10253" width="10.140625" style="4" customWidth="1"/>
    <col min="10254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13.7109375" style="4" customWidth="1"/>
    <col min="10500" max="10500" width="3" style="4" customWidth="1"/>
    <col min="10501" max="10501" width="5.140625" style="4" bestFit="1" customWidth="1"/>
    <col min="10502" max="10502" width="3.28515625" style="4" customWidth="1"/>
    <col min="10503" max="10503" width="29.42578125" style="4" customWidth="1"/>
    <col min="10504" max="10504" width="10.42578125" style="4" customWidth="1"/>
    <col min="10505" max="10508" width="8.7109375" style="4" bestFit="1" customWidth="1"/>
    <col min="10509" max="10509" width="10.140625" style="4" customWidth="1"/>
    <col min="10510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13.7109375" style="4" customWidth="1"/>
    <col min="10756" max="10756" width="3" style="4" customWidth="1"/>
    <col min="10757" max="10757" width="5.140625" style="4" bestFit="1" customWidth="1"/>
    <col min="10758" max="10758" width="3.28515625" style="4" customWidth="1"/>
    <col min="10759" max="10759" width="29.42578125" style="4" customWidth="1"/>
    <col min="10760" max="10760" width="10.42578125" style="4" customWidth="1"/>
    <col min="10761" max="10764" width="8.7109375" style="4" bestFit="1" customWidth="1"/>
    <col min="10765" max="10765" width="10.140625" style="4" customWidth="1"/>
    <col min="10766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13.7109375" style="4" customWidth="1"/>
    <col min="11012" max="11012" width="3" style="4" customWidth="1"/>
    <col min="11013" max="11013" width="5.140625" style="4" bestFit="1" customWidth="1"/>
    <col min="11014" max="11014" width="3.28515625" style="4" customWidth="1"/>
    <col min="11015" max="11015" width="29.42578125" style="4" customWidth="1"/>
    <col min="11016" max="11016" width="10.42578125" style="4" customWidth="1"/>
    <col min="11017" max="11020" width="8.7109375" style="4" bestFit="1" customWidth="1"/>
    <col min="11021" max="11021" width="10.140625" style="4" customWidth="1"/>
    <col min="11022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13.7109375" style="4" customWidth="1"/>
    <col min="11268" max="11268" width="3" style="4" customWidth="1"/>
    <col min="11269" max="11269" width="5.140625" style="4" bestFit="1" customWidth="1"/>
    <col min="11270" max="11270" width="3.28515625" style="4" customWidth="1"/>
    <col min="11271" max="11271" width="29.42578125" style="4" customWidth="1"/>
    <col min="11272" max="11272" width="10.42578125" style="4" customWidth="1"/>
    <col min="11273" max="11276" width="8.7109375" style="4" bestFit="1" customWidth="1"/>
    <col min="11277" max="11277" width="10.140625" style="4" customWidth="1"/>
    <col min="11278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13.7109375" style="4" customWidth="1"/>
    <col min="11524" max="11524" width="3" style="4" customWidth="1"/>
    <col min="11525" max="11525" width="5.140625" style="4" bestFit="1" customWidth="1"/>
    <col min="11526" max="11526" width="3.28515625" style="4" customWidth="1"/>
    <col min="11527" max="11527" width="29.42578125" style="4" customWidth="1"/>
    <col min="11528" max="11528" width="10.42578125" style="4" customWidth="1"/>
    <col min="11529" max="11532" width="8.7109375" style="4" bestFit="1" customWidth="1"/>
    <col min="11533" max="11533" width="10.140625" style="4" customWidth="1"/>
    <col min="11534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13.7109375" style="4" customWidth="1"/>
    <col min="11780" max="11780" width="3" style="4" customWidth="1"/>
    <col min="11781" max="11781" width="5.140625" style="4" bestFit="1" customWidth="1"/>
    <col min="11782" max="11782" width="3.28515625" style="4" customWidth="1"/>
    <col min="11783" max="11783" width="29.42578125" style="4" customWidth="1"/>
    <col min="11784" max="11784" width="10.42578125" style="4" customWidth="1"/>
    <col min="11785" max="11788" width="8.7109375" style="4" bestFit="1" customWidth="1"/>
    <col min="11789" max="11789" width="10.140625" style="4" customWidth="1"/>
    <col min="11790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13.7109375" style="4" customWidth="1"/>
    <col min="12036" max="12036" width="3" style="4" customWidth="1"/>
    <col min="12037" max="12037" width="5.140625" style="4" bestFit="1" customWidth="1"/>
    <col min="12038" max="12038" width="3.28515625" style="4" customWidth="1"/>
    <col min="12039" max="12039" width="29.42578125" style="4" customWidth="1"/>
    <col min="12040" max="12040" width="10.42578125" style="4" customWidth="1"/>
    <col min="12041" max="12044" width="8.7109375" style="4" bestFit="1" customWidth="1"/>
    <col min="12045" max="12045" width="10.140625" style="4" customWidth="1"/>
    <col min="12046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13.7109375" style="4" customWidth="1"/>
    <col min="12292" max="12292" width="3" style="4" customWidth="1"/>
    <col min="12293" max="12293" width="5.140625" style="4" bestFit="1" customWidth="1"/>
    <col min="12294" max="12294" width="3.28515625" style="4" customWidth="1"/>
    <col min="12295" max="12295" width="29.42578125" style="4" customWidth="1"/>
    <col min="12296" max="12296" width="10.42578125" style="4" customWidth="1"/>
    <col min="12297" max="12300" width="8.7109375" style="4" bestFit="1" customWidth="1"/>
    <col min="12301" max="12301" width="10.140625" style="4" customWidth="1"/>
    <col min="12302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13.7109375" style="4" customWidth="1"/>
    <col min="12548" max="12548" width="3" style="4" customWidth="1"/>
    <col min="12549" max="12549" width="5.140625" style="4" bestFit="1" customWidth="1"/>
    <col min="12550" max="12550" width="3.28515625" style="4" customWidth="1"/>
    <col min="12551" max="12551" width="29.42578125" style="4" customWidth="1"/>
    <col min="12552" max="12552" width="10.42578125" style="4" customWidth="1"/>
    <col min="12553" max="12556" width="8.7109375" style="4" bestFit="1" customWidth="1"/>
    <col min="12557" max="12557" width="10.140625" style="4" customWidth="1"/>
    <col min="12558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13.7109375" style="4" customWidth="1"/>
    <col min="12804" max="12804" width="3" style="4" customWidth="1"/>
    <col min="12805" max="12805" width="5.140625" style="4" bestFit="1" customWidth="1"/>
    <col min="12806" max="12806" width="3.28515625" style="4" customWidth="1"/>
    <col min="12807" max="12807" width="29.42578125" style="4" customWidth="1"/>
    <col min="12808" max="12808" width="10.42578125" style="4" customWidth="1"/>
    <col min="12809" max="12812" width="8.7109375" style="4" bestFit="1" customWidth="1"/>
    <col min="12813" max="12813" width="10.140625" style="4" customWidth="1"/>
    <col min="12814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13.7109375" style="4" customWidth="1"/>
    <col min="13060" max="13060" width="3" style="4" customWidth="1"/>
    <col min="13061" max="13061" width="5.140625" style="4" bestFit="1" customWidth="1"/>
    <col min="13062" max="13062" width="3.28515625" style="4" customWidth="1"/>
    <col min="13063" max="13063" width="29.42578125" style="4" customWidth="1"/>
    <col min="13064" max="13064" width="10.42578125" style="4" customWidth="1"/>
    <col min="13065" max="13068" width="8.7109375" style="4" bestFit="1" customWidth="1"/>
    <col min="13069" max="13069" width="10.140625" style="4" customWidth="1"/>
    <col min="13070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13.7109375" style="4" customWidth="1"/>
    <col min="13316" max="13316" width="3" style="4" customWidth="1"/>
    <col min="13317" max="13317" width="5.140625" style="4" bestFit="1" customWidth="1"/>
    <col min="13318" max="13318" width="3.28515625" style="4" customWidth="1"/>
    <col min="13319" max="13319" width="29.42578125" style="4" customWidth="1"/>
    <col min="13320" max="13320" width="10.42578125" style="4" customWidth="1"/>
    <col min="13321" max="13324" width="8.7109375" style="4" bestFit="1" customWidth="1"/>
    <col min="13325" max="13325" width="10.140625" style="4" customWidth="1"/>
    <col min="13326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13.7109375" style="4" customWidth="1"/>
    <col min="13572" max="13572" width="3" style="4" customWidth="1"/>
    <col min="13573" max="13573" width="5.140625" style="4" bestFit="1" customWidth="1"/>
    <col min="13574" max="13574" width="3.28515625" style="4" customWidth="1"/>
    <col min="13575" max="13575" width="29.42578125" style="4" customWidth="1"/>
    <col min="13576" max="13576" width="10.42578125" style="4" customWidth="1"/>
    <col min="13577" max="13580" width="8.7109375" style="4" bestFit="1" customWidth="1"/>
    <col min="13581" max="13581" width="10.140625" style="4" customWidth="1"/>
    <col min="13582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13.7109375" style="4" customWidth="1"/>
    <col min="13828" max="13828" width="3" style="4" customWidth="1"/>
    <col min="13829" max="13829" width="5.140625" style="4" bestFit="1" customWidth="1"/>
    <col min="13830" max="13830" width="3.28515625" style="4" customWidth="1"/>
    <col min="13831" max="13831" width="29.42578125" style="4" customWidth="1"/>
    <col min="13832" max="13832" width="10.42578125" style="4" customWidth="1"/>
    <col min="13833" max="13836" width="8.7109375" style="4" bestFit="1" customWidth="1"/>
    <col min="13837" max="13837" width="10.140625" style="4" customWidth="1"/>
    <col min="13838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13.7109375" style="4" customWidth="1"/>
    <col min="14084" max="14084" width="3" style="4" customWidth="1"/>
    <col min="14085" max="14085" width="5.140625" style="4" bestFit="1" customWidth="1"/>
    <col min="14086" max="14086" width="3.28515625" style="4" customWidth="1"/>
    <col min="14087" max="14087" width="29.42578125" style="4" customWidth="1"/>
    <col min="14088" max="14088" width="10.42578125" style="4" customWidth="1"/>
    <col min="14089" max="14092" width="8.7109375" style="4" bestFit="1" customWidth="1"/>
    <col min="14093" max="14093" width="10.140625" style="4" customWidth="1"/>
    <col min="14094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13.7109375" style="4" customWidth="1"/>
    <col min="14340" max="14340" width="3" style="4" customWidth="1"/>
    <col min="14341" max="14341" width="5.140625" style="4" bestFit="1" customWidth="1"/>
    <col min="14342" max="14342" width="3.28515625" style="4" customWidth="1"/>
    <col min="14343" max="14343" width="29.42578125" style="4" customWidth="1"/>
    <col min="14344" max="14344" width="10.42578125" style="4" customWidth="1"/>
    <col min="14345" max="14348" width="8.7109375" style="4" bestFit="1" customWidth="1"/>
    <col min="14349" max="14349" width="10.140625" style="4" customWidth="1"/>
    <col min="14350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13.7109375" style="4" customWidth="1"/>
    <col min="14596" max="14596" width="3" style="4" customWidth="1"/>
    <col min="14597" max="14597" width="5.140625" style="4" bestFit="1" customWidth="1"/>
    <col min="14598" max="14598" width="3.28515625" style="4" customWidth="1"/>
    <col min="14599" max="14599" width="29.42578125" style="4" customWidth="1"/>
    <col min="14600" max="14600" width="10.42578125" style="4" customWidth="1"/>
    <col min="14601" max="14604" width="8.7109375" style="4" bestFit="1" customWidth="1"/>
    <col min="14605" max="14605" width="10.140625" style="4" customWidth="1"/>
    <col min="14606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13.7109375" style="4" customWidth="1"/>
    <col min="14852" max="14852" width="3" style="4" customWidth="1"/>
    <col min="14853" max="14853" width="5.140625" style="4" bestFit="1" customWidth="1"/>
    <col min="14854" max="14854" width="3.28515625" style="4" customWidth="1"/>
    <col min="14855" max="14855" width="29.42578125" style="4" customWidth="1"/>
    <col min="14856" max="14856" width="10.42578125" style="4" customWidth="1"/>
    <col min="14857" max="14860" width="8.7109375" style="4" bestFit="1" customWidth="1"/>
    <col min="14861" max="14861" width="10.140625" style="4" customWidth="1"/>
    <col min="14862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13.7109375" style="4" customWidth="1"/>
    <col min="15108" max="15108" width="3" style="4" customWidth="1"/>
    <col min="15109" max="15109" width="5.140625" style="4" bestFit="1" customWidth="1"/>
    <col min="15110" max="15110" width="3.28515625" style="4" customWidth="1"/>
    <col min="15111" max="15111" width="29.42578125" style="4" customWidth="1"/>
    <col min="15112" max="15112" width="10.42578125" style="4" customWidth="1"/>
    <col min="15113" max="15116" width="8.7109375" style="4" bestFit="1" customWidth="1"/>
    <col min="15117" max="15117" width="10.140625" style="4" customWidth="1"/>
    <col min="15118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13.7109375" style="4" customWidth="1"/>
    <col min="15364" max="15364" width="3" style="4" customWidth="1"/>
    <col min="15365" max="15365" width="5.140625" style="4" bestFit="1" customWidth="1"/>
    <col min="15366" max="15366" width="3.28515625" style="4" customWidth="1"/>
    <col min="15367" max="15367" width="29.42578125" style="4" customWidth="1"/>
    <col min="15368" max="15368" width="10.42578125" style="4" customWidth="1"/>
    <col min="15369" max="15372" width="8.7109375" style="4" bestFit="1" customWidth="1"/>
    <col min="15373" max="15373" width="10.140625" style="4" customWidth="1"/>
    <col min="15374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13.7109375" style="4" customWidth="1"/>
    <col min="15620" max="15620" width="3" style="4" customWidth="1"/>
    <col min="15621" max="15621" width="5.140625" style="4" bestFit="1" customWidth="1"/>
    <col min="15622" max="15622" width="3.28515625" style="4" customWidth="1"/>
    <col min="15623" max="15623" width="29.42578125" style="4" customWidth="1"/>
    <col min="15624" max="15624" width="10.42578125" style="4" customWidth="1"/>
    <col min="15625" max="15628" width="8.7109375" style="4" bestFit="1" customWidth="1"/>
    <col min="15629" max="15629" width="10.140625" style="4" customWidth="1"/>
    <col min="15630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13.7109375" style="4" customWidth="1"/>
    <col min="15876" max="15876" width="3" style="4" customWidth="1"/>
    <col min="15877" max="15877" width="5.140625" style="4" bestFit="1" customWidth="1"/>
    <col min="15878" max="15878" width="3.28515625" style="4" customWidth="1"/>
    <col min="15879" max="15879" width="29.42578125" style="4" customWidth="1"/>
    <col min="15880" max="15880" width="10.42578125" style="4" customWidth="1"/>
    <col min="15881" max="15884" width="8.7109375" style="4" bestFit="1" customWidth="1"/>
    <col min="15885" max="15885" width="10.140625" style="4" customWidth="1"/>
    <col min="15886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13.7109375" style="4" customWidth="1"/>
    <col min="16132" max="16132" width="3" style="4" customWidth="1"/>
    <col min="16133" max="16133" width="5.140625" style="4" bestFit="1" customWidth="1"/>
    <col min="16134" max="16134" width="3.28515625" style="4" customWidth="1"/>
    <col min="16135" max="16135" width="29.42578125" style="4" customWidth="1"/>
    <col min="16136" max="16136" width="10.42578125" style="4" customWidth="1"/>
    <col min="16137" max="16140" width="8.7109375" style="4" bestFit="1" customWidth="1"/>
    <col min="16141" max="16141" width="10.140625" style="4" customWidth="1"/>
    <col min="16142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664" t="s">
        <v>471</v>
      </c>
      <c r="H2" s="665" t="s">
        <v>472</v>
      </c>
      <c r="I2" s="666"/>
      <c r="J2" s="667"/>
      <c r="K2" s="1166" t="s">
        <v>6</v>
      </c>
      <c r="L2" s="1167"/>
      <c r="M2" s="1168" t="s">
        <v>473</v>
      </c>
      <c r="N2" s="1169"/>
      <c r="O2" s="1169"/>
      <c r="P2" s="1169"/>
      <c r="Q2" s="1169"/>
      <c r="R2" s="1170"/>
    </row>
    <row r="3" spans="1:18" x14ac:dyDescent="0.2">
      <c r="A3" s="1"/>
      <c r="B3" s="10"/>
      <c r="C3" s="3"/>
      <c r="D3" s="3"/>
      <c r="E3" s="1"/>
      <c r="F3" s="1"/>
      <c r="G3" s="668" t="s">
        <v>7</v>
      </c>
      <c r="H3" s="669">
        <v>40908</v>
      </c>
      <c r="I3" s="669">
        <v>41274</v>
      </c>
      <c r="J3" s="669">
        <v>41639</v>
      </c>
      <c r="K3" s="669">
        <v>42004</v>
      </c>
      <c r="L3" s="669">
        <v>42369</v>
      </c>
      <c r="M3" s="669">
        <v>42735</v>
      </c>
      <c r="N3" s="669">
        <v>43100</v>
      </c>
      <c r="O3" s="669">
        <v>43465</v>
      </c>
      <c r="P3" s="669">
        <v>43830</v>
      </c>
      <c r="Q3" s="669">
        <v>44196</v>
      </c>
      <c r="R3" s="669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670" t="s">
        <v>9</v>
      </c>
      <c r="H4" s="671">
        <f t="shared" ref="H4:R4" si="0">H5+H10</f>
        <v>841.47900000000004</v>
      </c>
      <c r="I4" s="671">
        <f t="shared" si="0"/>
        <v>1003.076</v>
      </c>
      <c r="J4" s="671">
        <f t="shared" si="0"/>
        <v>1104.001</v>
      </c>
      <c r="K4" s="671">
        <f t="shared" si="0"/>
        <v>1278.9359999999999</v>
      </c>
      <c r="L4" s="671">
        <f t="shared" si="0"/>
        <v>1195.4939999999999</v>
      </c>
      <c r="M4" s="671">
        <f t="shared" si="0"/>
        <v>1137.867</v>
      </c>
      <c r="N4" s="671">
        <f t="shared" si="0"/>
        <v>38</v>
      </c>
      <c r="O4" s="671">
        <f t="shared" si="0"/>
        <v>38</v>
      </c>
      <c r="P4" s="671">
        <f t="shared" si="0"/>
        <v>38</v>
      </c>
      <c r="Q4" s="671">
        <f t="shared" si="0"/>
        <v>38</v>
      </c>
      <c r="R4" s="671">
        <f t="shared" si="0"/>
        <v>38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671">
        <f t="shared" ref="H5:Q5" si="1">SUM(H6:H9)</f>
        <v>830.30900000000008</v>
      </c>
      <c r="I5" s="671">
        <f t="shared" si="1"/>
        <v>1002.33</v>
      </c>
      <c r="J5" s="671">
        <f t="shared" si="1"/>
        <v>1104.001</v>
      </c>
      <c r="K5" s="671">
        <f t="shared" si="1"/>
        <v>1278.9359999999999</v>
      </c>
      <c r="L5" s="671">
        <f t="shared" si="1"/>
        <v>1195.4939999999999</v>
      </c>
      <c r="M5" s="671">
        <f t="shared" si="1"/>
        <v>1137.867</v>
      </c>
      <c r="N5" s="671">
        <f t="shared" si="1"/>
        <v>38</v>
      </c>
      <c r="O5" s="671">
        <f t="shared" si="1"/>
        <v>38</v>
      </c>
      <c r="P5" s="671">
        <f t="shared" si="1"/>
        <v>38</v>
      </c>
      <c r="Q5" s="671">
        <f t="shared" si="1"/>
        <v>38</v>
      </c>
      <c r="R5" s="671">
        <f>SUM(R6:R9)</f>
        <v>38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672">
        <v>819.69100000000003</v>
      </c>
      <c r="I6" s="672">
        <v>986.06100000000004</v>
      </c>
      <c r="J6" s="672">
        <v>1095.6310000000001</v>
      </c>
      <c r="K6" s="672">
        <v>1271.308</v>
      </c>
      <c r="L6" s="672">
        <v>1172.318</v>
      </c>
      <c r="M6" s="672">
        <v>1120.81</v>
      </c>
      <c r="N6" s="672">
        <v>21</v>
      </c>
      <c r="O6" s="672">
        <v>21</v>
      </c>
      <c r="P6" s="672">
        <v>21</v>
      </c>
      <c r="Q6" s="672">
        <v>21</v>
      </c>
      <c r="R6" s="672">
        <v>21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672">
        <v>10.618</v>
      </c>
      <c r="I7" s="672">
        <v>16.268999999999998</v>
      </c>
      <c r="J7" s="672">
        <v>8.3699999999999992</v>
      </c>
      <c r="K7" s="672">
        <v>7.6280000000000001</v>
      </c>
      <c r="L7" s="672">
        <v>23.175999999999998</v>
      </c>
      <c r="M7" s="672">
        <v>17.056999999999999</v>
      </c>
      <c r="N7" s="672">
        <v>17</v>
      </c>
      <c r="O7" s="672">
        <v>17</v>
      </c>
      <c r="P7" s="672">
        <v>17</v>
      </c>
      <c r="Q7" s="672">
        <v>17</v>
      </c>
      <c r="R7" s="672">
        <v>17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672">
        <v>0</v>
      </c>
      <c r="I8" s="672">
        <v>0</v>
      </c>
      <c r="J8" s="672">
        <v>0</v>
      </c>
      <c r="K8" s="672">
        <v>0</v>
      </c>
      <c r="L8" s="672">
        <v>0</v>
      </c>
      <c r="M8" s="672">
        <v>0</v>
      </c>
      <c r="N8" s="672">
        <v>0</v>
      </c>
      <c r="O8" s="672">
        <v>0</v>
      </c>
      <c r="P8" s="672">
        <v>0</v>
      </c>
      <c r="Q8" s="672">
        <v>0</v>
      </c>
      <c r="R8" s="672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672">
        <v>0</v>
      </c>
      <c r="I9" s="672">
        <v>0</v>
      </c>
      <c r="J9" s="672">
        <v>0</v>
      </c>
      <c r="K9" s="672">
        <v>0</v>
      </c>
      <c r="L9" s="672">
        <v>0</v>
      </c>
      <c r="M9" s="672">
        <v>0</v>
      </c>
      <c r="N9" s="672">
        <v>0</v>
      </c>
      <c r="O9" s="672">
        <v>0</v>
      </c>
      <c r="P9" s="672">
        <v>0</v>
      </c>
      <c r="Q9" s="672">
        <v>0</v>
      </c>
      <c r="R9" s="672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671">
        <f>SUM(H11:H16)</f>
        <v>11.17</v>
      </c>
      <c r="I10" s="671">
        <f t="shared" ref="I10:R10" si="2">SUM(I11:I16)</f>
        <v>0.746</v>
      </c>
      <c r="J10" s="671">
        <f t="shared" si="2"/>
        <v>0</v>
      </c>
      <c r="K10" s="671">
        <f t="shared" si="2"/>
        <v>0</v>
      </c>
      <c r="L10" s="671">
        <f t="shared" si="2"/>
        <v>0</v>
      </c>
      <c r="M10" s="671">
        <v>0</v>
      </c>
      <c r="N10" s="671">
        <f t="shared" si="2"/>
        <v>0</v>
      </c>
      <c r="O10" s="671">
        <f t="shared" si="2"/>
        <v>0</v>
      </c>
      <c r="P10" s="671">
        <f t="shared" si="2"/>
        <v>0</v>
      </c>
      <c r="Q10" s="671">
        <f t="shared" si="2"/>
        <v>0</v>
      </c>
      <c r="R10" s="671">
        <f t="shared" si="2"/>
        <v>0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672">
        <v>0</v>
      </c>
      <c r="I11" s="672">
        <v>0</v>
      </c>
      <c r="J11" s="672">
        <v>0</v>
      </c>
      <c r="K11" s="672">
        <v>0</v>
      </c>
      <c r="L11" s="672">
        <v>0</v>
      </c>
      <c r="M11" s="672">
        <v>0</v>
      </c>
      <c r="N11" s="672">
        <v>0</v>
      </c>
      <c r="O11" s="672">
        <v>0</v>
      </c>
      <c r="P11" s="672">
        <v>0</v>
      </c>
      <c r="Q11" s="672">
        <v>0</v>
      </c>
      <c r="R11" s="672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672">
        <v>0</v>
      </c>
      <c r="I12" s="672">
        <v>0</v>
      </c>
      <c r="J12" s="672">
        <v>0</v>
      </c>
      <c r="K12" s="672">
        <v>0</v>
      </c>
      <c r="L12" s="672">
        <v>0</v>
      </c>
      <c r="M12" s="672">
        <v>0.60599999999999998</v>
      </c>
      <c r="N12" s="672">
        <v>0</v>
      </c>
      <c r="O12" s="672">
        <v>0</v>
      </c>
      <c r="P12" s="672">
        <v>0</v>
      </c>
      <c r="Q12" s="672">
        <v>0</v>
      </c>
      <c r="R12" s="672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672">
        <v>0</v>
      </c>
      <c r="I13" s="672">
        <v>0</v>
      </c>
      <c r="J13" s="672">
        <v>0</v>
      </c>
      <c r="K13" s="672">
        <v>0</v>
      </c>
      <c r="L13" s="672">
        <v>0</v>
      </c>
      <c r="M13" s="672">
        <v>0</v>
      </c>
      <c r="N13" s="672">
        <v>0</v>
      </c>
      <c r="O13" s="672">
        <v>0</v>
      </c>
      <c r="P13" s="672">
        <v>0</v>
      </c>
      <c r="Q13" s="672">
        <v>0</v>
      </c>
      <c r="R13" s="672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672">
        <v>0</v>
      </c>
      <c r="I14" s="672">
        <v>0</v>
      </c>
      <c r="J14" s="672">
        <v>0</v>
      </c>
      <c r="K14" s="672">
        <v>0</v>
      </c>
      <c r="L14" s="672">
        <v>0</v>
      </c>
      <c r="M14" s="672">
        <v>0</v>
      </c>
      <c r="N14" s="672">
        <v>0</v>
      </c>
      <c r="O14" s="672">
        <v>0</v>
      </c>
      <c r="P14" s="672">
        <v>0</v>
      </c>
      <c r="Q14" s="672">
        <v>0</v>
      </c>
      <c r="R14" s="672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672">
        <v>11.17</v>
      </c>
      <c r="I15" s="672">
        <v>0.746</v>
      </c>
      <c r="J15" s="672">
        <v>0</v>
      </c>
      <c r="K15" s="672">
        <v>0</v>
      </c>
      <c r="L15" s="672">
        <v>0</v>
      </c>
      <c r="M15" s="672">
        <v>0</v>
      </c>
      <c r="N15" s="672">
        <v>0</v>
      </c>
      <c r="O15" s="672">
        <v>0</v>
      </c>
      <c r="P15" s="672">
        <v>0</v>
      </c>
      <c r="Q15" s="672">
        <v>0</v>
      </c>
      <c r="R15" s="672">
        <v>0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672">
        <v>0</v>
      </c>
      <c r="I16" s="672">
        <v>0</v>
      </c>
      <c r="J16" s="672">
        <v>0</v>
      </c>
      <c r="K16" s="672">
        <v>0</v>
      </c>
      <c r="L16" s="672">
        <v>0</v>
      </c>
      <c r="M16" s="672">
        <v>0</v>
      </c>
      <c r="N16" s="672">
        <v>0</v>
      </c>
      <c r="O16" s="672">
        <v>0</v>
      </c>
      <c r="P16" s="672">
        <v>0</v>
      </c>
      <c r="Q16" s="672">
        <v>0</v>
      </c>
      <c r="R16" s="672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673">
        <v>0</v>
      </c>
      <c r="I17" s="673">
        <v>0</v>
      </c>
      <c r="J17" s="673">
        <v>0</v>
      </c>
      <c r="K17" s="673">
        <v>0</v>
      </c>
      <c r="L17" s="673">
        <v>0</v>
      </c>
      <c r="M17" s="673">
        <v>0</v>
      </c>
      <c r="N17" s="673">
        <v>0</v>
      </c>
      <c r="O17" s="673">
        <v>0</v>
      </c>
      <c r="P17" s="673">
        <v>0</v>
      </c>
      <c r="Q17" s="673">
        <v>0</v>
      </c>
      <c r="R17" s="673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671">
        <f>H19+H27</f>
        <v>841.47899999999993</v>
      </c>
      <c r="I18" s="671">
        <f t="shared" ref="I18:R18" si="3">I19+I27</f>
        <v>1003.0769999999999</v>
      </c>
      <c r="J18" s="671">
        <f t="shared" si="3"/>
        <v>1104.001</v>
      </c>
      <c r="K18" s="671">
        <f t="shared" si="3"/>
        <v>1278.9370000000001</v>
      </c>
      <c r="L18" s="671">
        <f t="shared" si="3"/>
        <v>1195.4940000000001</v>
      </c>
      <c r="M18" s="671">
        <f t="shared" si="3"/>
        <v>1137.8679999999999</v>
      </c>
      <c r="N18" s="671">
        <f t="shared" si="3"/>
        <v>38</v>
      </c>
      <c r="O18" s="671">
        <f t="shared" si="3"/>
        <v>38</v>
      </c>
      <c r="P18" s="671">
        <f t="shared" si="3"/>
        <v>38</v>
      </c>
      <c r="Q18" s="671">
        <f t="shared" si="3"/>
        <v>38</v>
      </c>
      <c r="R18" s="671">
        <f t="shared" si="3"/>
        <v>38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671">
        <f>SUM(H21:H26)</f>
        <v>43.356999999999999</v>
      </c>
      <c r="I19" s="671">
        <f t="shared" ref="I19:R19" si="4">SUM(I21:I26)</f>
        <v>58.079000000000001</v>
      </c>
      <c r="J19" s="671">
        <f t="shared" si="4"/>
        <v>62.375999999999998</v>
      </c>
      <c r="K19" s="671">
        <f t="shared" si="4"/>
        <v>37.851999999999997</v>
      </c>
      <c r="L19" s="671">
        <f t="shared" si="4"/>
        <v>60.747999999999998</v>
      </c>
      <c r="M19" s="671">
        <f t="shared" si="4"/>
        <v>29.742999999999999</v>
      </c>
      <c r="N19" s="671">
        <f t="shared" si="4"/>
        <v>30</v>
      </c>
      <c r="O19" s="671">
        <f t="shared" si="4"/>
        <v>30</v>
      </c>
      <c r="P19" s="671">
        <f t="shared" si="4"/>
        <v>30</v>
      </c>
      <c r="Q19" s="671">
        <f t="shared" si="4"/>
        <v>30</v>
      </c>
      <c r="R19" s="671">
        <f t="shared" si="4"/>
        <v>30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674">
        <v>43.356999999999999</v>
      </c>
      <c r="I20" s="674">
        <v>58.079000000000001</v>
      </c>
      <c r="J20" s="674">
        <v>62.375999999999998</v>
      </c>
      <c r="K20" s="674">
        <v>37.851999999999997</v>
      </c>
      <c r="L20" s="674">
        <v>60.747999999999998</v>
      </c>
      <c r="M20" s="674">
        <v>29.742999999999999</v>
      </c>
      <c r="N20" s="674">
        <v>30</v>
      </c>
      <c r="O20" s="674">
        <v>30</v>
      </c>
      <c r="P20" s="674">
        <v>30</v>
      </c>
      <c r="Q20" s="674">
        <v>30</v>
      </c>
      <c r="R20" s="674">
        <v>30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672">
        <v>43.356999999999999</v>
      </c>
      <c r="I21" s="672">
        <v>58.079000000000001</v>
      </c>
      <c r="J21" s="672">
        <v>62.375999999999998</v>
      </c>
      <c r="K21" s="672">
        <v>37.851999999999997</v>
      </c>
      <c r="L21" s="672">
        <v>60.747999999999998</v>
      </c>
      <c r="M21" s="672">
        <v>29.742999999999999</v>
      </c>
      <c r="N21" s="672">
        <v>30</v>
      </c>
      <c r="O21" s="672">
        <v>30</v>
      </c>
      <c r="P21" s="672">
        <v>30</v>
      </c>
      <c r="Q21" s="672">
        <v>30</v>
      </c>
      <c r="R21" s="672">
        <v>30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672">
        <v>0</v>
      </c>
      <c r="I22" s="672">
        <v>0</v>
      </c>
      <c r="J22" s="672">
        <v>0</v>
      </c>
      <c r="K22" s="672">
        <v>0</v>
      </c>
      <c r="L22" s="672">
        <v>0</v>
      </c>
      <c r="M22" s="672">
        <v>0</v>
      </c>
      <c r="N22" s="672">
        <v>0</v>
      </c>
      <c r="O22" s="672">
        <v>0</v>
      </c>
      <c r="P22" s="672">
        <v>0</v>
      </c>
      <c r="Q22" s="672">
        <v>0</v>
      </c>
      <c r="R22" s="672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672">
        <v>0</v>
      </c>
      <c r="I23" s="672">
        <v>0</v>
      </c>
      <c r="J23" s="672">
        <v>0</v>
      </c>
      <c r="K23" s="672">
        <v>0</v>
      </c>
      <c r="L23" s="672">
        <v>0</v>
      </c>
      <c r="M23" s="672">
        <v>0</v>
      </c>
      <c r="N23" s="672">
        <v>0</v>
      </c>
      <c r="O23" s="672">
        <v>0</v>
      </c>
      <c r="P23" s="672">
        <v>0</v>
      </c>
      <c r="Q23" s="672">
        <v>0</v>
      </c>
      <c r="R23" s="672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672">
        <v>0</v>
      </c>
      <c r="I24" s="672">
        <v>0</v>
      </c>
      <c r="J24" s="672">
        <v>0</v>
      </c>
      <c r="K24" s="672">
        <v>0</v>
      </c>
      <c r="L24" s="672">
        <v>0</v>
      </c>
      <c r="M24" s="672">
        <v>0</v>
      </c>
      <c r="N24" s="672">
        <v>0</v>
      </c>
      <c r="O24" s="672">
        <v>0</v>
      </c>
      <c r="P24" s="672">
        <v>0</v>
      </c>
      <c r="Q24" s="672">
        <v>0</v>
      </c>
      <c r="R24" s="672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672">
        <v>0</v>
      </c>
      <c r="I25" s="672">
        <v>0</v>
      </c>
      <c r="J25" s="672">
        <v>0</v>
      </c>
      <c r="K25" s="672">
        <v>0</v>
      </c>
      <c r="L25" s="672">
        <v>0</v>
      </c>
      <c r="M25" s="672">
        <v>0</v>
      </c>
      <c r="N25" s="672">
        <v>0</v>
      </c>
      <c r="O25" s="672">
        <v>0</v>
      </c>
      <c r="P25" s="672">
        <v>0</v>
      </c>
      <c r="Q25" s="672">
        <v>0</v>
      </c>
      <c r="R25" s="672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672">
        <v>0</v>
      </c>
      <c r="I26" s="672">
        <v>0</v>
      </c>
      <c r="J26" s="672">
        <v>0</v>
      </c>
      <c r="K26" s="672">
        <v>0</v>
      </c>
      <c r="L26" s="672">
        <v>0</v>
      </c>
      <c r="M26" s="672">
        <v>0</v>
      </c>
      <c r="N26" s="672">
        <v>0</v>
      </c>
      <c r="O26" s="672">
        <v>0</v>
      </c>
      <c r="P26" s="672">
        <v>0</v>
      </c>
      <c r="Q26" s="672">
        <v>0</v>
      </c>
      <c r="R26" s="672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671">
        <f>SUM(H28:H30)</f>
        <v>798.12199999999996</v>
      </c>
      <c r="I27" s="671">
        <f t="shared" ref="I27:R27" si="5">SUM(I28:I30)</f>
        <v>944.99799999999993</v>
      </c>
      <c r="J27" s="671">
        <f t="shared" si="5"/>
        <v>1041.625</v>
      </c>
      <c r="K27" s="671">
        <f t="shared" si="5"/>
        <v>1241.085</v>
      </c>
      <c r="L27" s="671">
        <f t="shared" si="5"/>
        <v>1134.7460000000001</v>
      </c>
      <c r="M27" s="671">
        <f t="shared" si="5"/>
        <v>1108.125</v>
      </c>
      <c r="N27" s="671">
        <f t="shared" si="5"/>
        <v>8</v>
      </c>
      <c r="O27" s="671">
        <f t="shared" si="5"/>
        <v>8</v>
      </c>
      <c r="P27" s="671">
        <f t="shared" si="5"/>
        <v>8</v>
      </c>
      <c r="Q27" s="671">
        <f t="shared" si="5"/>
        <v>8</v>
      </c>
      <c r="R27" s="671">
        <f t="shared" si="5"/>
        <v>8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672">
        <v>0</v>
      </c>
      <c r="I28" s="672">
        <v>0</v>
      </c>
      <c r="J28" s="672">
        <v>0</v>
      </c>
      <c r="K28" s="672">
        <v>0</v>
      </c>
      <c r="L28" s="672">
        <v>0</v>
      </c>
      <c r="M28" s="672">
        <v>0</v>
      </c>
      <c r="N28" s="672">
        <v>0</v>
      </c>
      <c r="O28" s="672">
        <v>0</v>
      </c>
      <c r="P28" s="672">
        <v>0</v>
      </c>
      <c r="Q28" s="672">
        <v>0</v>
      </c>
      <c r="R28" s="672">
        <v>0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672">
        <v>812.75099999999998</v>
      </c>
      <c r="I29" s="672">
        <v>798.12199999999996</v>
      </c>
      <c r="J29" s="672">
        <v>944.99800000000005</v>
      </c>
      <c r="K29" s="672">
        <v>1041.626</v>
      </c>
      <c r="L29" s="672">
        <v>1241.0840000000001</v>
      </c>
      <c r="M29" s="672">
        <v>1134.7460000000001</v>
      </c>
      <c r="N29" s="672">
        <v>1108</v>
      </c>
      <c r="O29" s="672">
        <v>8</v>
      </c>
      <c r="P29" s="672">
        <v>8</v>
      </c>
      <c r="Q29" s="672">
        <v>8</v>
      </c>
      <c r="R29" s="672">
        <v>8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672">
        <v>-14.629</v>
      </c>
      <c r="I30" s="672">
        <v>146.876</v>
      </c>
      <c r="J30" s="672">
        <v>96.626999999999995</v>
      </c>
      <c r="K30" s="672">
        <v>199.459</v>
      </c>
      <c r="L30" s="672">
        <v>-106.33799999999999</v>
      </c>
      <c r="M30" s="672">
        <v>-26.620999999999999</v>
      </c>
      <c r="N30" s="672">
        <v>-1100</v>
      </c>
      <c r="O30" s="672">
        <v>0</v>
      </c>
      <c r="P30" s="672">
        <v>0</v>
      </c>
      <c r="Q30" s="672">
        <v>0</v>
      </c>
      <c r="R30" s="672">
        <v>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675">
        <f t="shared" ref="H31:R31" si="6">H4-H18</f>
        <v>0</v>
      </c>
      <c r="I31" s="675">
        <f t="shared" si="6"/>
        <v>-9.999999998626663E-4</v>
      </c>
      <c r="J31" s="675">
        <f t="shared" si="6"/>
        <v>0</v>
      </c>
      <c r="K31" s="675">
        <f t="shared" si="6"/>
        <v>-1.0000000002037268E-3</v>
      </c>
      <c r="L31" s="675">
        <f t="shared" si="6"/>
        <v>0</v>
      </c>
      <c r="M31" s="675">
        <f t="shared" si="6"/>
        <v>-9.9999999997635314E-4</v>
      </c>
      <c r="N31" s="675">
        <f t="shared" si="6"/>
        <v>0</v>
      </c>
      <c r="O31" s="675">
        <f t="shared" si="6"/>
        <v>0</v>
      </c>
      <c r="P31" s="675">
        <f t="shared" si="6"/>
        <v>0</v>
      </c>
      <c r="Q31" s="675">
        <f t="shared" si="6"/>
        <v>0</v>
      </c>
      <c r="R31" s="675">
        <f t="shared" si="6"/>
        <v>0</v>
      </c>
      <c r="S31" s="4"/>
    </row>
    <row r="32" spans="1:19" x14ac:dyDescent="0.2">
      <c r="G32" s="668" t="s">
        <v>78</v>
      </c>
      <c r="H32" s="676">
        <v>2011</v>
      </c>
      <c r="I32" s="676">
        <f t="shared" ref="I32:R32" si="7">H32+1</f>
        <v>2012</v>
      </c>
      <c r="J32" s="676">
        <f t="shared" si="7"/>
        <v>2013</v>
      </c>
      <c r="K32" s="676">
        <f t="shared" si="7"/>
        <v>2014</v>
      </c>
      <c r="L32" s="676">
        <f t="shared" si="7"/>
        <v>2015</v>
      </c>
      <c r="M32" s="676">
        <f t="shared" si="7"/>
        <v>2016</v>
      </c>
      <c r="N32" s="676">
        <f t="shared" si="7"/>
        <v>2017</v>
      </c>
      <c r="O32" s="676">
        <f t="shared" si="7"/>
        <v>2018</v>
      </c>
      <c r="P32" s="676">
        <f t="shared" si="7"/>
        <v>2019</v>
      </c>
      <c r="Q32" s="676">
        <f t="shared" si="7"/>
        <v>2020</v>
      </c>
      <c r="R32" s="676">
        <f t="shared" si="7"/>
        <v>2021</v>
      </c>
    </row>
    <row r="33" spans="1:18" x14ac:dyDescent="0.2">
      <c r="B33" s="2" t="s">
        <v>79</v>
      </c>
      <c r="C33" s="19">
        <v>3</v>
      </c>
      <c r="G33" s="670" t="s">
        <v>80</v>
      </c>
      <c r="H33" s="671">
        <f>SUM(H34:H37)</f>
        <v>2863.3019999999997</v>
      </c>
      <c r="I33" s="671">
        <f t="shared" ref="I33:R33" si="8">SUM(I34:I37)</f>
        <v>1466.192</v>
      </c>
      <c r="J33" s="671">
        <f t="shared" si="8"/>
        <v>1720.318</v>
      </c>
      <c r="K33" s="671">
        <f t="shared" si="8"/>
        <v>4382.3010000000004</v>
      </c>
      <c r="L33" s="671">
        <f t="shared" si="8"/>
        <v>1480.028</v>
      </c>
      <c r="M33" s="671">
        <f t="shared" si="8"/>
        <v>1661.558</v>
      </c>
      <c r="N33" s="671">
        <f t="shared" si="8"/>
        <v>3202.279</v>
      </c>
      <c r="O33" s="671">
        <f t="shared" si="8"/>
        <v>1967</v>
      </c>
      <c r="P33" s="671">
        <f t="shared" si="8"/>
        <v>4669</v>
      </c>
      <c r="Q33" s="671">
        <f t="shared" si="8"/>
        <v>1589</v>
      </c>
      <c r="R33" s="671">
        <f t="shared" si="8"/>
        <v>1729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672">
        <v>0</v>
      </c>
      <c r="I34" s="672">
        <v>0</v>
      </c>
      <c r="J34" s="672">
        <v>0</v>
      </c>
      <c r="K34" s="672">
        <v>0</v>
      </c>
      <c r="L34" s="672">
        <v>0</v>
      </c>
      <c r="M34" s="672">
        <v>0</v>
      </c>
      <c r="N34" s="672">
        <v>0</v>
      </c>
      <c r="O34" s="672">
        <v>0</v>
      </c>
      <c r="P34" s="672">
        <v>0</v>
      </c>
      <c r="Q34" s="672">
        <v>0</v>
      </c>
      <c r="R34" s="672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672">
        <v>594.18700000000001</v>
      </c>
      <c r="I35" s="672">
        <v>30.536999999999999</v>
      </c>
      <c r="J35" s="672">
        <v>253.5</v>
      </c>
      <c r="K35" s="672">
        <v>1458.048</v>
      </c>
      <c r="L35" s="672">
        <v>0.86799999999999999</v>
      </c>
      <c r="M35" s="672">
        <v>174.155</v>
      </c>
      <c r="N35" s="672">
        <v>430</v>
      </c>
      <c r="O35" s="672">
        <v>249</v>
      </c>
      <c r="P35" s="672">
        <v>1400</v>
      </c>
      <c r="Q35" s="672">
        <v>60</v>
      </c>
      <c r="R35" s="672">
        <v>200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672">
        <v>2269.1149999999998</v>
      </c>
      <c r="I36" s="672">
        <v>1439.825</v>
      </c>
      <c r="J36" s="672">
        <v>1466.818</v>
      </c>
      <c r="K36" s="672">
        <v>2924.2530000000002</v>
      </c>
      <c r="L36" s="672">
        <v>1479.16</v>
      </c>
      <c r="M36" s="672">
        <v>1478.9280000000001</v>
      </c>
      <c r="N36" s="672">
        <v>2772.279</v>
      </c>
      <c r="O36" s="672">
        <v>1718</v>
      </c>
      <c r="P36" s="672">
        <v>3269</v>
      </c>
      <c r="Q36" s="672">
        <v>1529</v>
      </c>
      <c r="R36" s="672">
        <v>1529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672">
        <v>0</v>
      </c>
      <c r="I37" s="672">
        <v>-4.17</v>
      </c>
      <c r="J37" s="672">
        <v>0</v>
      </c>
      <c r="K37" s="672">
        <v>0</v>
      </c>
      <c r="L37" s="672">
        <v>0</v>
      </c>
      <c r="M37" s="672">
        <v>8.4749999999999996</v>
      </c>
      <c r="N37" s="672">
        <v>0</v>
      </c>
      <c r="O37" s="672">
        <v>0</v>
      </c>
      <c r="P37" s="672">
        <v>0</v>
      </c>
      <c r="Q37" s="672">
        <v>0</v>
      </c>
      <c r="R37" s="672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671">
        <f>H39+H40</f>
        <v>-163.34200000000001</v>
      </c>
      <c r="I38" s="671">
        <f t="shared" ref="I38:R38" si="9">I39+I40</f>
        <v>0</v>
      </c>
      <c r="J38" s="671">
        <f t="shared" si="9"/>
        <v>0</v>
      </c>
      <c r="K38" s="671">
        <f t="shared" si="9"/>
        <v>-178.35</v>
      </c>
      <c r="L38" s="671">
        <f t="shared" si="9"/>
        <v>0</v>
      </c>
      <c r="M38" s="671">
        <f t="shared" si="9"/>
        <v>0</v>
      </c>
      <c r="N38" s="671">
        <f t="shared" si="9"/>
        <v>0</v>
      </c>
      <c r="O38" s="671">
        <f t="shared" si="9"/>
        <v>0</v>
      </c>
      <c r="P38" s="671">
        <f t="shared" si="9"/>
        <v>0</v>
      </c>
      <c r="Q38" s="671">
        <f t="shared" si="9"/>
        <v>0</v>
      </c>
      <c r="R38" s="671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672">
        <v>0</v>
      </c>
      <c r="I39" s="672">
        <v>0</v>
      </c>
      <c r="J39" s="672">
        <v>0</v>
      </c>
      <c r="K39" s="672">
        <v>0</v>
      </c>
      <c r="L39" s="672">
        <v>0</v>
      </c>
      <c r="M39" s="672">
        <v>0</v>
      </c>
      <c r="N39" s="672">
        <v>0</v>
      </c>
      <c r="O39" s="672">
        <v>0</v>
      </c>
      <c r="P39" s="672">
        <v>0</v>
      </c>
      <c r="Q39" s="672">
        <v>0</v>
      </c>
      <c r="R39" s="672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672">
        <v>-163.34200000000001</v>
      </c>
      <c r="I40" s="672">
        <v>0</v>
      </c>
      <c r="J40" s="672">
        <v>0</v>
      </c>
      <c r="K40" s="672">
        <v>-178.35</v>
      </c>
      <c r="L40" s="672">
        <v>0</v>
      </c>
      <c r="M40" s="672">
        <v>0</v>
      </c>
      <c r="N40" s="672">
        <v>0</v>
      </c>
      <c r="O40" s="672">
        <v>0</v>
      </c>
      <c r="P40" s="672">
        <v>0</v>
      </c>
      <c r="Q40" s="672">
        <v>0</v>
      </c>
      <c r="R40" s="672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671">
        <f>SUM(H42:H45)</f>
        <v>-2718.6990000000001</v>
      </c>
      <c r="I41" s="671">
        <f t="shared" ref="I41:R41" si="10">SUM(I42:I45)</f>
        <v>-1320.6</v>
      </c>
      <c r="J41" s="671">
        <f t="shared" si="10"/>
        <v>-1623.69</v>
      </c>
      <c r="K41" s="671">
        <f t="shared" si="10"/>
        <v>-4004.4919999999997</v>
      </c>
      <c r="L41" s="671">
        <f t="shared" si="10"/>
        <v>-1589.0409999999999</v>
      </c>
      <c r="M41" s="671">
        <f t="shared" si="10"/>
        <v>-1688.597</v>
      </c>
      <c r="N41" s="671">
        <f t="shared" si="10"/>
        <v>-4302.2789999999995</v>
      </c>
      <c r="O41" s="671">
        <f t="shared" si="10"/>
        <v>-1967</v>
      </c>
      <c r="P41" s="671">
        <f t="shared" si="10"/>
        <v>-4669</v>
      </c>
      <c r="Q41" s="671">
        <f t="shared" si="10"/>
        <v>-1589</v>
      </c>
      <c r="R41" s="671">
        <f t="shared" si="10"/>
        <v>-1729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672">
        <v>-154.268</v>
      </c>
      <c r="I42" s="672">
        <v>-151.755</v>
      </c>
      <c r="J42" s="672">
        <v>-170.63200000000001</v>
      </c>
      <c r="K42" s="672">
        <v>-196.959</v>
      </c>
      <c r="L42" s="672">
        <v>-229.92599999999999</v>
      </c>
      <c r="M42" s="672">
        <v>-233.58500000000001</v>
      </c>
      <c r="N42" s="672">
        <v>-260.14999999999998</v>
      </c>
      <c r="O42" s="672">
        <v>-270</v>
      </c>
      <c r="P42" s="672">
        <v>-280</v>
      </c>
      <c r="Q42" s="672">
        <v>-290</v>
      </c>
      <c r="R42" s="672">
        <v>-290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672">
        <v>-2562.1990000000001</v>
      </c>
      <c r="I43" s="672">
        <v>-1168.425</v>
      </c>
      <c r="J43" s="672">
        <v>-1452.3119999999999</v>
      </c>
      <c r="K43" s="672">
        <v>-3807.527</v>
      </c>
      <c r="L43" s="672">
        <v>-1359.115</v>
      </c>
      <c r="M43" s="672">
        <v>-1455.0119999999999</v>
      </c>
      <c r="N43" s="672">
        <v>-4042.1289999999999</v>
      </c>
      <c r="O43" s="672">
        <v>-1697</v>
      </c>
      <c r="P43" s="672">
        <v>-4389</v>
      </c>
      <c r="Q43" s="672">
        <v>-1299</v>
      </c>
      <c r="R43" s="672">
        <v>-1439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672">
        <v>0</v>
      </c>
      <c r="I44" s="672">
        <v>0</v>
      </c>
      <c r="J44" s="672">
        <v>0</v>
      </c>
      <c r="K44" s="672">
        <v>-6.0000000000000001E-3</v>
      </c>
      <c r="L44" s="672">
        <v>0</v>
      </c>
      <c r="M44" s="672">
        <v>0</v>
      </c>
      <c r="N44" s="672">
        <v>0</v>
      </c>
      <c r="O44" s="672">
        <v>0</v>
      </c>
      <c r="P44" s="672">
        <v>0</v>
      </c>
      <c r="Q44" s="672">
        <v>0</v>
      </c>
      <c r="R44" s="672">
        <v>0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672">
        <v>-2.2320000000000002</v>
      </c>
      <c r="I45" s="672">
        <v>-0.42</v>
      </c>
      <c r="J45" s="672">
        <v>-0.746</v>
      </c>
      <c r="K45" s="672">
        <v>0</v>
      </c>
      <c r="L45" s="672">
        <v>0</v>
      </c>
      <c r="M45" s="672">
        <v>0</v>
      </c>
      <c r="N45" s="672">
        <v>0</v>
      </c>
      <c r="O45" s="672">
        <v>0</v>
      </c>
      <c r="P45" s="672">
        <v>0</v>
      </c>
      <c r="Q45" s="672">
        <v>0</v>
      </c>
      <c r="R45" s="672">
        <v>0</v>
      </c>
    </row>
    <row r="46" spans="1:18" x14ac:dyDescent="0.2">
      <c r="B46" s="2" t="s">
        <v>107</v>
      </c>
      <c r="G46" s="18" t="s">
        <v>108</v>
      </c>
      <c r="H46" s="671">
        <f>H33+H38+H41</f>
        <v>-18.739000000000487</v>
      </c>
      <c r="I46" s="671">
        <f t="shared" ref="I46:R46" si="11">I33+I38+I41</f>
        <v>145.5920000000001</v>
      </c>
      <c r="J46" s="671">
        <f t="shared" si="11"/>
        <v>96.627999999999929</v>
      </c>
      <c r="K46" s="671">
        <f t="shared" si="11"/>
        <v>199.45900000000029</v>
      </c>
      <c r="L46" s="671">
        <f t="shared" si="11"/>
        <v>-109.01299999999992</v>
      </c>
      <c r="M46" s="671">
        <f t="shared" si="11"/>
        <v>-27.038999999999987</v>
      </c>
      <c r="N46" s="671">
        <f t="shared" si="11"/>
        <v>-1099.9999999999995</v>
      </c>
      <c r="O46" s="671">
        <f t="shared" si="11"/>
        <v>0</v>
      </c>
      <c r="P46" s="671">
        <f t="shared" si="11"/>
        <v>0</v>
      </c>
      <c r="Q46" s="671">
        <f t="shared" si="11"/>
        <v>0</v>
      </c>
      <c r="R46" s="671">
        <f t="shared" si="11"/>
        <v>0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672">
        <v>4.1100000000000003</v>
      </c>
      <c r="I47" s="672">
        <v>1.284</v>
      </c>
      <c r="J47" s="672">
        <v>0</v>
      </c>
      <c r="K47" s="672">
        <v>-5.0000000000000001E-3</v>
      </c>
      <c r="L47" s="672">
        <v>2.6779999999999999</v>
      </c>
      <c r="M47" s="672">
        <v>1.403</v>
      </c>
      <c r="N47" s="672">
        <v>0</v>
      </c>
      <c r="O47" s="672">
        <v>0</v>
      </c>
      <c r="P47" s="672">
        <v>0</v>
      </c>
      <c r="Q47" s="672">
        <v>0</v>
      </c>
      <c r="R47" s="672">
        <v>0</v>
      </c>
    </row>
    <row r="48" spans="1:18" x14ac:dyDescent="0.2">
      <c r="B48" s="2" t="s">
        <v>111</v>
      </c>
      <c r="G48" s="18" t="s">
        <v>112</v>
      </c>
      <c r="H48" s="671">
        <f>H46+H47</f>
        <v>-14.629000000000488</v>
      </c>
      <c r="I48" s="671">
        <f t="shared" ref="I48:R48" si="12">I46+I47</f>
        <v>146.87600000000009</v>
      </c>
      <c r="J48" s="671">
        <f t="shared" si="12"/>
        <v>96.627999999999929</v>
      </c>
      <c r="K48" s="671">
        <f t="shared" si="12"/>
        <v>199.45400000000029</v>
      </c>
      <c r="L48" s="671">
        <f t="shared" si="12"/>
        <v>-106.33499999999992</v>
      </c>
      <c r="M48" s="671">
        <f t="shared" si="12"/>
        <v>-25.635999999999989</v>
      </c>
      <c r="N48" s="671">
        <f t="shared" si="12"/>
        <v>-1099.9999999999995</v>
      </c>
      <c r="O48" s="671">
        <f t="shared" si="12"/>
        <v>0</v>
      </c>
      <c r="P48" s="671">
        <f t="shared" si="12"/>
        <v>0</v>
      </c>
      <c r="Q48" s="671">
        <f t="shared" si="12"/>
        <v>0</v>
      </c>
      <c r="R48" s="671">
        <f t="shared" si="12"/>
        <v>0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672">
        <v>0</v>
      </c>
      <c r="I49" s="672">
        <v>0</v>
      </c>
      <c r="J49" s="672">
        <v>0</v>
      </c>
      <c r="K49" s="672">
        <v>0</v>
      </c>
      <c r="L49" s="672">
        <v>0</v>
      </c>
      <c r="M49" s="672">
        <v>0</v>
      </c>
      <c r="N49" s="672">
        <v>0</v>
      </c>
      <c r="O49" s="672">
        <v>0</v>
      </c>
      <c r="P49" s="672">
        <v>0</v>
      </c>
      <c r="Q49" s="672">
        <v>0</v>
      </c>
      <c r="R49" s="672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672">
        <v>0</v>
      </c>
      <c r="I50" s="672">
        <v>0</v>
      </c>
      <c r="J50" s="672">
        <v>0</v>
      </c>
      <c r="K50" s="672">
        <v>0</v>
      </c>
      <c r="L50" s="672">
        <v>0</v>
      </c>
      <c r="M50" s="672">
        <v>0</v>
      </c>
      <c r="N50" s="672">
        <v>0</v>
      </c>
      <c r="O50" s="672">
        <v>0</v>
      </c>
      <c r="P50" s="672">
        <v>0</v>
      </c>
      <c r="Q50" s="672">
        <v>0</v>
      </c>
      <c r="R50" s="672">
        <v>0</v>
      </c>
    </row>
    <row r="51" spans="1:18" x14ac:dyDescent="0.2">
      <c r="B51" s="2" t="s">
        <v>117</v>
      </c>
      <c r="G51" s="18" t="s">
        <v>118</v>
      </c>
      <c r="H51" s="671">
        <f>H48+H49+H50</f>
        <v>-14.629000000000488</v>
      </c>
      <c r="I51" s="671">
        <f t="shared" ref="I51:R51" si="13">I48+I49+I50</f>
        <v>146.87600000000009</v>
      </c>
      <c r="J51" s="671">
        <f t="shared" si="13"/>
        <v>96.627999999999929</v>
      </c>
      <c r="K51" s="671">
        <f t="shared" si="13"/>
        <v>199.45400000000029</v>
      </c>
      <c r="L51" s="671">
        <f t="shared" si="13"/>
        <v>-106.33499999999992</v>
      </c>
      <c r="M51" s="671">
        <v>-27</v>
      </c>
      <c r="N51" s="671">
        <f t="shared" si="13"/>
        <v>-1099.9999999999995</v>
      </c>
      <c r="O51" s="671">
        <f t="shared" si="13"/>
        <v>0</v>
      </c>
      <c r="P51" s="671">
        <f t="shared" si="13"/>
        <v>0</v>
      </c>
      <c r="Q51" s="671">
        <f t="shared" si="13"/>
        <v>0</v>
      </c>
      <c r="R51" s="671">
        <f t="shared" si="13"/>
        <v>0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675">
        <f>H30-H51</f>
        <v>4.8849813083506888E-13</v>
      </c>
      <c r="I52" s="675">
        <f t="shared" ref="I52:R52" si="14">I30-I51</f>
        <v>0</v>
      </c>
      <c r="J52" s="675">
        <f t="shared" si="14"/>
        <v>-9.9999999993372057E-4</v>
      </c>
      <c r="K52" s="675">
        <f t="shared" si="14"/>
        <v>4.9999999997112354E-3</v>
      </c>
      <c r="L52" s="675">
        <f t="shared" si="14"/>
        <v>-3.000000000071168E-3</v>
      </c>
      <c r="M52" s="675">
        <f t="shared" si="14"/>
        <v>0.37900000000000134</v>
      </c>
      <c r="N52" s="675">
        <f t="shared" si="14"/>
        <v>0</v>
      </c>
      <c r="O52" s="675">
        <f t="shared" si="14"/>
        <v>0</v>
      </c>
      <c r="P52" s="675">
        <f t="shared" si="14"/>
        <v>0</v>
      </c>
      <c r="Q52" s="675">
        <f t="shared" si="14"/>
        <v>0</v>
      </c>
      <c r="R52" s="675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672">
        <v>7</v>
      </c>
      <c r="I54" s="672">
        <v>7</v>
      </c>
      <c r="J54" s="672">
        <v>8</v>
      </c>
      <c r="K54" s="672">
        <v>9</v>
      </c>
      <c r="L54" s="672">
        <v>9</v>
      </c>
      <c r="M54" s="672">
        <v>8</v>
      </c>
      <c r="N54" s="672">
        <v>9</v>
      </c>
      <c r="O54" s="672">
        <v>9</v>
      </c>
      <c r="P54" s="672">
        <v>9</v>
      </c>
      <c r="Q54" s="672">
        <v>9</v>
      </c>
      <c r="R54" s="672">
        <v>9</v>
      </c>
    </row>
    <row r="55" spans="1:18" ht="12" x14ac:dyDescent="0.2">
      <c r="E55" s="20" t="s">
        <v>14</v>
      </c>
      <c r="G55" s="46" t="s">
        <v>122</v>
      </c>
      <c r="H55" s="672"/>
      <c r="I55" s="672"/>
      <c r="J55" s="672"/>
      <c r="K55" s="672"/>
      <c r="L55" s="677"/>
      <c r="M55" s="677"/>
      <c r="N55" s="677"/>
      <c r="O55" s="677"/>
      <c r="P55" s="677"/>
      <c r="Q55" s="677"/>
      <c r="R55" s="677"/>
    </row>
    <row r="57" spans="1:18" x14ac:dyDescent="0.2">
      <c r="D57" s="49" t="s">
        <v>123</v>
      </c>
      <c r="E57" s="50" t="s">
        <v>3</v>
      </c>
      <c r="F57" s="17"/>
      <c r="G57" s="668" t="s">
        <v>124</v>
      </c>
      <c r="H57" s="676">
        <f>H32</f>
        <v>2011</v>
      </c>
      <c r="I57" s="676">
        <f t="shared" ref="I57:R57" si="15">I32</f>
        <v>2012</v>
      </c>
      <c r="J57" s="676">
        <f t="shared" si="15"/>
        <v>2013</v>
      </c>
      <c r="K57" s="676">
        <f t="shared" si="15"/>
        <v>2014</v>
      </c>
      <c r="L57" s="676">
        <f t="shared" si="15"/>
        <v>2015</v>
      </c>
      <c r="M57" s="676">
        <f t="shared" si="15"/>
        <v>2016</v>
      </c>
      <c r="N57" s="676">
        <f t="shared" si="15"/>
        <v>2017</v>
      </c>
      <c r="O57" s="676">
        <f t="shared" si="15"/>
        <v>2018</v>
      </c>
      <c r="P57" s="676">
        <f t="shared" si="15"/>
        <v>2019</v>
      </c>
      <c r="Q57" s="676">
        <f t="shared" si="15"/>
        <v>2020</v>
      </c>
      <c r="R57" s="676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670" t="s">
        <v>128</v>
      </c>
      <c r="H58" s="672">
        <v>0</v>
      </c>
      <c r="I58" s="672">
        <v>0</v>
      </c>
      <c r="J58" s="672">
        <v>0</v>
      </c>
      <c r="K58" s="672">
        <v>0</v>
      </c>
      <c r="L58" s="672">
        <v>0</v>
      </c>
      <c r="M58" s="672">
        <v>0</v>
      </c>
      <c r="N58" s="672">
        <v>0</v>
      </c>
      <c r="O58" s="672">
        <v>0</v>
      </c>
      <c r="P58" s="672">
        <v>0</v>
      </c>
      <c r="Q58" s="672">
        <v>0</v>
      </c>
      <c r="R58" s="672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672">
        <v>0</v>
      </c>
      <c r="I59" s="672">
        <v>5.8330000000000002</v>
      </c>
      <c r="J59" s="672">
        <v>0</v>
      </c>
      <c r="K59" s="672">
        <v>0</v>
      </c>
      <c r="L59" s="672">
        <v>0</v>
      </c>
      <c r="M59" s="672">
        <v>0</v>
      </c>
      <c r="N59" s="672">
        <v>0</v>
      </c>
      <c r="O59" s="672">
        <v>0</v>
      </c>
      <c r="P59" s="672">
        <v>0</v>
      </c>
      <c r="Q59" s="672">
        <v>0</v>
      </c>
      <c r="R59" s="672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672">
        <v>63.911999999999999</v>
      </c>
      <c r="I60" s="672">
        <v>0</v>
      </c>
      <c r="J60" s="672">
        <v>0</v>
      </c>
      <c r="K60" s="672">
        <v>0</v>
      </c>
      <c r="L60" s="672">
        <v>0</v>
      </c>
      <c r="M60" s="672">
        <v>0</v>
      </c>
      <c r="N60" s="672">
        <v>0</v>
      </c>
      <c r="O60" s="672">
        <v>0</v>
      </c>
      <c r="P60" s="672">
        <v>0</v>
      </c>
      <c r="Q60" s="672">
        <v>0</v>
      </c>
      <c r="R60" s="672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672">
        <v>-63.911999999999999</v>
      </c>
      <c r="I61" s="672">
        <v>0</v>
      </c>
      <c r="J61" s="672">
        <v>0</v>
      </c>
      <c r="K61" s="672">
        <v>0</v>
      </c>
      <c r="L61" s="672">
        <v>0</v>
      </c>
      <c r="M61" s="672">
        <v>0</v>
      </c>
      <c r="N61" s="672">
        <v>0</v>
      </c>
      <c r="O61" s="672">
        <v>0</v>
      </c>
      <c r="P61" s="672">
        <v>0</v>
      </c>
      <c r="Q61" s="672">
        <v>0</v>
      </c>
      <c r="R61" s="672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672">
        <v>0</v>
      </c>
      <c r="I62" s="672">
        <v>0</v>
      </c>
      <c r="J62" s="672">
        <v>0</v>
      </c>
      <c r="K62" s="672">
        <v>0</v>
      </c>
      <c r="L62" s="672">
        <v>0</v>
      </c>
      <c r="M62" s="672">
        <v>0</v>
      </c>
      <c r="N62" s="672">
        <v>0</v>
      </c>
      <c r="O62" s="672">
        <v>0</v>
      </c>
      <c r="P62" s="672">
        <v>0</v>
      </c>
      <c r="Q62" s="672">
        <v>0</v>
      </c>
      <c r="R62" s="672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672">
        <v>0</v>
      </c>
      <c r="I63" s="672">
        <v>0</v>
      </c>
      <c r="J63" s="672">
        <v>0</v>
      </c>
      <c r="K63" s="672">
        <v>0</v>
      </c>
      <c r="L63" s="672">
        <v>0</v>
      </c>
      <c r="M63" s="672">
        <v>0</v>
      </c>
      <c r="N63" s="672">
        <v>0</v>
      </c>
      <c r="O63" s="672">
        <v>0</v>
      </c>
      <c r="P63" s="672">
        <v>0</v>
      </c>
      <c r="Q63" s="672">
        <v>0</v>
      </c>
      <c r="R63" s="672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672">
        <v>0</v>
      </c>
      <c r="I64" s="672">
        <v>0</v>
      </c>
      <c r="J64" s="672">
        <v>0</v>
      </c>
      <c r="K64" s="672">
        <v>0</v>
      </c>
      <c r="L64" s="672">
        <v>0</v>
      </c>
      <c r="M64" s="672">
        <v>0</v>
      </c>
      <c r="N64" s="672">
        <v>0</v>
      </c>
      <c r="O64" s="672">
        <v>0</v>
      </c>
      <c r="P64" s="672">
        <v>0</v>
      </c>
      <c r="Q64" s="672">
        <v>0</v>
      </c>
      <c r="R64" s="672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672">
        <v>0</v>
      </c>
      <c r="I65" s="672">
        <v>0</v>
      </c>
      <c r="J65" s="672">
        <v>0</v>
      </c>
      <c r="K65" s="672">
        <v>0</v>
      </c>
      <c r="L65" s="672">
        <v>0</v>
      </c>
      <c r="M65" s="672">
        <v>0</v>
      </c>
      <c r="N65" s="672">
        <v>0</v>
      </c>
      <c r="O65" s="672">
        <v>0</v>
      </c>
      <c r="P65" s="672">
        <v>0</v>
      </c>
      <c r="Q65" s="672">
        <v>0</v>
      </c>
      <c r="R65" s="672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672">
        <v>0</v>
      </c>
      <c r="I66" s="672">
        <v>0</v>
      </c>
      <c r="J66" s="672">
        <v>0</v>
      </c>
      <c r="K66" s="672">
        <v>0</v>
      </c>
      <c r="L66" s="672">
        <v>0</v>
      </c>
      <c r="M66" s="672">
        <v>0</v>
      </c>
      <c r="N66" s="672">
        <v>0</v>
      </c>
      <c r="O66" s="672">
        <v>0</v>
      </c>
      <c r="P66" s="672">
        <v>0</v>
      </c>
      <c r="Q66" s="672">
        <v>0</v>
      </c>
      <c r="R66" s="672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672">
        <v>0</v>
      </c>
      <c r="I67" s="672">
        <v>0</v>
      </c>
      <c r="J67" s="672">
        <v>0</v>
      </c>
      <c r="K67" s="672">
        <v>0</v>
      </c>
      <c r="L67" s="672">
        <v>0</v>
      </c>
      <c r="M67" s="672">
        <v>0</v>
      </c>
      <c r="N67" s="672">
        <v>0</v>
      </c>
      <c r="O67" s="672">
        <v>0</v>
      </c>
      <c r="P67" s="672">
        <v>0</v>
      </c>
      <c r="Q67" s="672">
        <v>0</v>
      </c>
      <c r="R67" s="672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672">
        <v>0</v>
      </c>
      <c r="I68" s="672">
        <v>0</v>
      </c>
      <c r="J68" s="672">
        <v>0</v>
      </c>
      <c r="K68" s="672">
        <v>0</v>
      </c>
      <c r="L68" s="672">
        <v>0</v>
      </c>
      <c r="M68" s="672">
        <v>0</v>
      </c>
      <c r="N68" s="672">
        <v>0</v>
      </c>
      <c r="O68" s="672">
        <v>0</v>
      </c>
      <c r="P68" s="672">
        <v>0</v>
      </c>
      <c r="Q68" s="672">
        <v>0</v>
      </c>
      <c r="R68" s="672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672">
        <v>0</v>
      </c>
      <c r="I69" s="672">
        <v>0</v>
      </c>
      <c r="J69" s="672">
        <v>0</v>
      </c>
      <c r="K69" s="672">
        <v>0</v>
      </c>
      <c r="L69" s="672">
        <v>0</v>
      </c>
      <c r="M69" s="672">
        <v>0</v>
      </c>
      <c r="N69" s="672">
        <v>0</v>
      </c>
      <c r="O69" s="672">
        <v>0</v>
      </c>
      <c r="P69" s="672">
        <v>0</v>
      </c>
      <c r="Q69" s="672">
        <v>0</v>
      </c>
      <c r="R69" s="672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672">
        <v>1.63</v>
      </c>
      <c r="I70" s="672">
        <v>3.573</v>
      </c>
      <c r="J70" s="672">
        <v>0.192</v>
      </c>
      <c r="K70" s="672">
        <v>0</v>
      </c>
      <c r="L70" s="672">
        <v>1.2190000000000001</v>
      </c>
      <c r="M70" s="672">
        <v>0</v>
      </c>
      <c r="N70" s="672">
        <v>0</v>
      </c>
      <c r="O70" s="672">
        <v>0</v>
      </c>
      <c r="P70" s="672">
        <v>0</v>
      </c>
      <c r="Q70" s="672">
        <v>0</v>
      </c>
      <c r="R70" s="672">
        <v>0</v>
      </c>
    </row>
    <row r="71" spans="2:18" x14ac:dyDescent="0.2">
      <c r="B71" s="51" t="s">
        <v>162</v>
      </c>
      <c r="D71" s="16"/>
      <c r="E71" s="22"/>
      <c r="F71" s="22"/>
      <c r="G71" s="678" t="s">
        <v>163</v>
      </c>
      <c r="H71" s="671">
        <f t="shared" ref="H71:R71" si="16">SUM(H58:H70)</f>
        <v>1.63</v>
      </c>
      <c r="I71" s="671">
        <f t="shared" si="16"/>
        <v>9.4060000000000006</v>
      </c>
      <c r="J71" s="671">
        <f t="shared" si="16"/>
        <v>0.192</v>
      </c>
      <c r="K71" s="671">
        <f t="shared" si="16"/>
        <v>0</v>
      </c>
      <c r="L71" s="671">
        <f t="shared" si="16"/>
        <v>1.2190000000000001</v>
      </c>
      <c r="M71" s="671">
        <f t="shared" si="16"/>
        <v>0</v>
      </c>
      <c r="N71" s="671">
        <f t="shared" si="16"/>
        <v>0</v>
      </c>
      <c r="O71" s="671">
        <f t="shared" si="16"/>
        <v>0</v>
      </c>
      <c r="P71" s="671">
        <f t="shared" si="16"/>
        <v>0</v>
      </c>
      <c r="Q71" s="671">
        <f t="shared" si="16"/>
        <v>0</v>
      </c>
      <c r="R71" s="671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668" t="s">
        <v>164</v>
      </c>
      <c r="H73" s="676">
        <f t="shared" ref="H73:R73" si="17">H57</f>
        <v>2011</v>
      </c>
      <c r="I73" s="676">
        <f t="shared" si="17"/>
        <v>2012</v>
      </c>
      <c r="J73" s="676">
        <f t="shared" si="17"/>
        <v>2013</v>
      </c>
      <c r="K73" s="676">
        <f t="shared" si="17"/>
        <v>2014</v>
      </c>
      <c r="L73" s="676">
        <f t="shared" si="17"/>
        <v>2015</v>
      </c>
      <c r="M73" s="676">
        <f t="shared" si="17"/>
        <v>2016</v>
      </c>
      <c r="N73" s="676">
        <f t="shared" si="17"/>
        <v>2017</v>
      </c>
      <c r="O73" s="676">
        <f t="shared" si="17"/>
        <v>2018</v>
      </c>
      <c r="P73" s="676">
        <f t="shared" si="17"/>
        <v>2019</v>
      </c>
      <c r="Q73" s="676">
        <f t="shared" si="17"/>
        <v>2020</v>
      </c>
      <c r="R73" s="676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670" t="s">
        <v>167</v>
      </c>
      <c r="H74" s="672">
        <v>0</v>
      </c>
      <c r="I74" s="672">
        <v>0</v>
      </c>
      <c r="J74" s="672">
        <v>0</v>
      </c>
      <c r="K74" s="672">
        <v>0</v>
      </c>
      <c r="L74" s="672">
        <v>0</v>
      </c>
      <c r="M74" s="672">
        <v>0</v>
      </c>
      <c r="N74" s="672">
        <v>0</v>
      </c>
      <c r="O74" s="672">
        <v>0</v>
      </c>
      <c r="P74" s="672">
        <v>0</v>
      </c>
      <c r="Q74" s="672">
        <v>0</v>
      </c>
      <c r="R74" s="672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672">
        <v>0</v>
      </c>
      <c r="I75" s="672">
        <v>0</v>
      </c>
      <c r="J75" s="672">
        <v>0</v>
      </c>
      <c r="K75" s="672">
        <v>0</v>
      </c>
      <c r="L75" s="672">
        <v>0</v>
      </c>
      <c r="M75" s="672">
        <v>0</v>
      </c>
      <c r="N75" s="672">
        <v>0</v>
      </c>
      <c r="O75" s="672">
        <v>0</v>
      </c>
      <c r="P75" s="672">
        <v>0</v>
      </c>
      <c r="Q75" s="672">
        <v>0</v>
      </c>
      <c r="R75" s="672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672">
        <v>0</v>
      </c>
      <c r="I76" s="672">
        <v>0</v>
      </c>
      <c r="J76" s="672">
        <v>0</v>
      </c>
      <c r="K76" s="672">
        <v>0</v>
      </c>
      <c r="L76" s="672">
        <v>0</v>
      </c>
      <c r="M76" s="672">
        <v>0</v>
      </c>
      <c r="N76" s="672">
        <v>0</v>
      </c>
      <c r="O76" s="672">
        <v>0</v>
      </c>
      <c r="P76" s="672">
        <v>0</v>
      </c>
      <c r="Q76" s="672">
        <v>0</v>
      </c>
      <c r="R76" s="672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672">
        <v>0</v>
      </c>
      <c r="I77" s="672">
        <v>0</v>
      </c>
      <c r="J77" s="672">
        <v>0</v>
      </c>
      <c r="K77" s="672">
        <v>0</v>
      </c>
      <c r="L77" s="672">
        <v>0</v>
      </c>
      <c r="M77" s="672">
        <v>0</v>
      </c>
      <c r="N77" s="672">
        <v>0</v>
      </c>
      <c r="O77" s="672">
        <v>0</v>
      </c>
      <c r="P77" s="672">
        <v>0</v>
      </c>
      <c r="Q77" s="672">
        <v>0</v>
      </c>
      <c r="R77" s="672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672">
        <v>0</v>
      </c>
      <c r="I78" s="672">
        <v>0</v>
      </c>
      <c r="J78" s="672">
        <v>0</v>
      </c>
      <c r="K78" s="672">
        <v>0</v>
      </c>
      <c r="L78" s="672">
        <v>0</v>
      </c>
      <c r="M78" s="672">
        <v>0</v>
      </c>
      <c r="N78" s="672">
        <v>0</v>
      </c>
      <c r="O78" s="672">
        <v>0</v>
      </c>
      <c r="P78" s="672">
        <v>0</v>
      </c>
      <c r="Q78" s="672">
        <v>0</v>
      </c>
      <c r="R78" s="672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672">
        <v>0</v>
      </c>
      <c r="I79" s="672">
        <v>-2.5000000000000001E-2</v>
      </c>
      <c r="J79" s="672">
        <v>0</v>
      </c>
      <c r="K79" s="672">
        <v>-5.0000000000000001E-3</v>
      </c>
      <c r="L79" s="672">
        <v>-3.0000000000000001E-3</v>
      </c>
      <c r="M79" s="672">
        <v>0</v>
      </c>
      <c r="N79" s="672">
        <v>0</v>
      </c>
      <c r="O79" s="672">
        <v>0</v>
      </c>
      <c r="P79" s="672">
        <v>0</v>
      </c>
      <c r="Q79" s="672">
        <v>0</v>
      </c>
      <c r="R79" s="672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672">
        <v>0</v>
      </c>
      <c r="I80" s="672">
        <v>0</v>
      </c>
      <c r="J80" s="672">
        <v>0</v>
      </c>
      <c r="K80" s="672">
        <v>0</v>
      </c>
      <c r="L80" s="672">
        <v>0</v>
      </c>
      <c r="M80" s="672">
        <v>0</v>
      </c>
      <c r="N80" s="672">
        <v>0</v>
      </c>
      <c r="O80" s="672">
        <v>0</v>
      </c>
      <c r="P80" s="672">
        <v>0</v>
      </c>
      <c r="Q80" s="672">
        <v>0</v>
      </c>
      <c r="R80" s="672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672">
        <v>0</v>
      </c>
      <c r="I81" s="672">
        <v>0</v>
      </c>
      <c r="J81" s="672">
        <v>0</v>
      </c>
      <c r="K81" s="672">
        <v>0</v>
      </c>
      <c r="L81" s="672">
        <v>0</v>
      </c>
      <c r="M81" s="672">
        <v>0</v>
      </c>
      <c r="N81" s="672">
        <v>0</v>
      </c>
      <c r="O81" s="672">
        <v>0</v>
      </c>
      <c r="P81" s="672">
        <v>0</v>
      </c>
      <c r="Q81" s="672">
        <v>0</v>
      </c>
      <c r="R81" s="672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672">
        <v>0</v>
      </c>
      <c r="I82" s="672">
        <v>0</v>
      </c>
      <c r="J82" s="672">
        <v>0</v>
      </c>
      <c r="K82" s="672">
        <v>0</v>
      </c>
      <c r="L82" s="672">
        <v>0</v>
      </c>
      <c r="M82" s="672">
        <v>0</v>
      </c>
      <c r="N82" s="672">
        <v>0</v>
      </c>
      <c r="O82" s="672">
        <v>0</v>
      </c>
      <c r="P82" s="672">
        <v>0</v>
      </c>
      <c r="Q82" s="672">
        <v>0</v>
      </c>
      <c r="R82" s="672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672">
        <v>0</v>
      </c>
      <c r="I83" s="672">
        <v>0</v>
      </c>
      <c r="J83" s="672">
        <v>0</v>
      </c>
      <c r="K83" s="672">
        <v>0</v>
      </c>
      <c r="L83" s="672">
        <v>0</v>
      </c>
      <c r="M83" s="672">
        <v>0</v>
      </c>
      <c r="N83" s="672">
        <v>0</v>
      </c>
      <c r="O83" s="672">
        <v>0</v>
      </c>
      <c r="P83" s="672">
        <v>0</v>
      </c>
      <c r="Q83" s="672">
        <v>0</v>
      </c>
      <c r="R83" s="672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672">
        <v>0</v>
      </c>
      <c r="I84" s="672">
        <v>0</v>
      </c>
      <c r="J84" s="672">
        <v>0</v>
      </c>
      <c r="K84" s="672">
        <v>0</v>
      </c>
      <c r="L84" s="672">
        <v>0</v>
      </c>
      <c r="M84" s="672">
        <v>0</v>
      </c>
      <c r="N84" s="672">
        <v>0</v>
      </c>
      <c r="O84" s="672">
        <v>0</v>
      </c>
      <c r="P84" s="672">
        <v>0</v>
      </c>
      <c r="Q84" s="672">
        <v>0</v>
      </c>
      <c r="R84" s="672">
        <v>0</v>
      </c>
    </row>
    <row r="85" spans="1:18" x14ac:dyDescent="0.2">
      <c r="B85" s="2" t="s">
        <v>192</v>
      </c>
      <c r="G85" s="186" t="s">
        <v>163</v>
      </c>
      <c r="H85" s="671">
        <f t="shared" ref="H85:R85" si="18">SUM(H74:H84)</f>
        <v>0</v>
      </c>
      <c r="I85" s="671">
        <f t="shared" si="18"/>
        <v>-2.5000000000000001E-2</v>
      </c>
      <c r="J85" s="671">
        <f t="shared" si="18"/>
        <v>0</v>
      </c>
      <c r="K85" s="671">
        <f t="shared" si="18"/>
        <v>-5.0000000000000001E-3</v>
      </c>
      <c r="L85" s="671">
        <f t="shared" si="18"/>
        <v>-3.0000000000000001E-3</v>
      </c>
      <c r="M85" s="671">
        <f t="shared" si="18"/>
        <v>0</v>
      </c>
      <c r="N85" s="671">
        <f t="shared" si="18"/>
        <v>0</v>
      </c>
      <c r="O85" s="671">
        <f t="shared" si="18"/>
        <v>0</v>
      </c>
      <c r="P85" s="671">
        <f t="shared" si="18"/>
        <v>0</v>
      </c>
      <c r="Q85" s="671">
        <f t="shared" si="18"/>
        <v>0</v>
      </c>
      <c r="R85" s="671">
        <f t="shared" si="18"/>
        <v>0</v>
      </c>
    </row>
    <row r="87" spans="1:18" x14ac:dyDescent="0.2">
      <c r="A87" s="23" t="s">
        <v>0</v>
      </c>
      <c r="D87" s="1171" t="s">
        <v>193</v>
      </c>
      <c r="E87" s="1172"/>
      <c r="G87" s="668" t="s">
        <v>194</v>
      </c>
      <c r="H87" s="676">
        <f t="shared" ref="H87:R87" si="19">H32</f>
        <v>2011</v>
      </c>
      <c r="I87" s="676">
        <f t="shared" si="19"/>
        <v>2012</v>
      </c>
      <c r="J87" s="676">
        <f t="shared" si="19"/>
        <v>2013</v>
      </c>
      <c r="K87" s="676">
        <f t="shared" si="19"/>
        <v>2014</v>
      </c>
      <c r="L87" s="676">
        <f t="shared" si="19"/>
        <v>2015</v>
      </c>
      <c r="M87" s="676">
        <f t="shared" si="19"/>
        <v>2016</v>
      </c>
      <c r="N87" s="676">
        <f t="shared" si="19"/>
        <v>2017</v>
      </c>
      <c r="O87" s="676">
        <f t="shared" si="19"/>
        <v>2018</v>
      </c>
      <c r="P87" s="676">
        <f t="shared" si="19"/>
        <v>2019</v>
      </c>
      <c r="Q87" s="676">
        <f t="shared" si="19"/>
        <v>2020</v>
      </c>
      <c r="R87" s="676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679"/>
      <c r="G88" s="670" t="s">
        <v>198</v>
      </c>
      <c r="H88" s="671">
        <f>H46+H71</f>
        <v>-17.109000000000488</v>
      </c>
      <c r="I88" s="671">
        <f t="shared" ref="I88:R88" si="20">I46+I71</f>
        <v>154.9980000000001</v>
      </c>
      <c r="J88" s="671">
        <f t="shared" si="20"/>
        <v>96.819999999999922</v>
      </c>
      <c r="K88" s="671">
        <f t="shared" si="20"/>
        <v>199.45900000000029</v>
      </c>
      <c r="L88" s="671">
        <f t="shared" si="20"/>
        <v>-107.79399999999993</v>
      </c>
      <c r="M88" s="671">
        <f t="shared" si="20"/>
        <v>-27.038999999999987</v>
      </c>
      <c r="N88" s="671">
        <f t="shared" si="20"/>
        <v>-1099.9999999999995</v>
      </c>
      <c r="O88" s="671">
        <f t="shared" si="20"/>
        <v>0</v>
      </c>
      <c r="P88" s="671">
        <f t="shared" si="20"/>
        <v>0</v>
      </c>
      <c r="Q88" s="671">
        <f t="shared" si="20"/>
        <v>0</v>
      </c>
      <c r="R88" s="671">
        <f t="shared" si="20"/>
        <v>0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679"/>
      <c r="G89" s="670" t="s">
        <v>202</v>
      </c>
      <c r="H89" s="680">
        <f t="shared" ref="H89:R89" si="21">H33+H38+H41-H45</f>
        <v>-16.507000000000488</v>
      </c>
      <c r="I89" s="671">
        <f t="shared" si="21"/>
        <v>146.01200000000009</v>
      </c>
      <c r="J89" s="671">
        <f t="shared" si="21"/>
        <v>97.373999999999924</v>
      </c>
      <c r="K89" s="671">
        <f t="shared" si="21"/>
        <v>199.45900000000029</v>
      </c>
      <c r="L89" s="671">
        <f t="shared" si="21"/>
        <v>-109.01299999999992</v>
      </c>
      <c r="M89" s="671">
        <f t="shared" si="21"/>
        <v>-27.038999999999987</v>
      </c>
      <c r="N89" s="671">
        <f t="shared" si="21"/>
        <v>-1099.9999999999995</v>
      </c>
      <c r="O89" s="671">
        <f t="shared" si="21"/>
        <v>0</v>
      </c>
      <c r="P89" s="671">
        <f t="shared" si="21"/>
        <v>0</v>
      </c>
      <c r="Q89" s="671">
        <f t="shared" si="21"/>
        <v>0</v>
      </c>
      <c r="R89" s="671">
        <f t="shared" si="21"/>
        <v>0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681">
        <v>0</v>
      </c>
      <c r="G90" s="186" t="s">
        <v>206</v>
      </c>
      <c r="H90" s="682">
        <f t="shared" ref="H90:R90" si="22">H89/H33</f>
        <v>-5.7650223413389474E-3</v>
      </c>
      <c r="I90" s="683">
        <f t="shared" si="22"/>
        <v>9.9585865971168905E-2</v>
      </c>
      <c r="J90" s="683">
        <f t="shared" si="22"/>
        <v>5.6602325849058097E-2</v>
      </c>
      <c r="K90" s="683">
        <f t="shared" si="22"/>
        <v>4.5514673683984798E-2</v>
      </c>
      <c r="L90" s="683">
        <f t="shared" si="22"/>
        <v>-7.3656038939803783E-2</v>
      </c>
      <c r="M90" s="683">
        <f t="shared" si="22"/>
        <v>-1.6273280860493577E-2</v>
      </c>
      <c r="N90" s="683">
        <f t="shared" si="22"/>
        <v>-0.34350535977658397</v>
      </c>
      <c r="O90" s="683">
        <f t="shared" si="22"/>
        <v>0</v>
      </c>
      <c r="P90" s="683">
        <f t="shared" si="22"/>
        <v>0</v>
      </c>
      <c r="Q90" s="683">
        <f t="shared" si="22"/>
        <v>0</v>
      </c>
      <c r="R90" s="683">
        <f t="shared" si="22"/>
        <v>0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679"/>
      <c r="G91" s="18" t="s">
        <v>210</v>
      </c>
      <c r="H91" s="684">
        <f t="shared" ref="H91:R91" si="23">-H33/(H38+H41)</f>
        <v>0.99349801061122989</v>
      </c>
      <c r="I91" s="684">
        <f t="shared" si="23"/>
        <v>1.1102468574890203</v>
      </c>
      <c r="J91" s="684">
        <f t="shared" si="23"/>
        <v>1.0595113599270796</v>
      </c>
      <c r="K91" s="684">
        <f t="shared" si="23"/>
        <v>1.0476850428488576</v>
      </c>
      <c r="L91" s="684">
        <f t="shared" si="23"/>
        <v>0.9313969872394734</v>
      </c>
      <c r="M91" s="684">
        <f t="shared" si="23"/>
        <v>0.98398729833109977</v>
      </c>
      <c r="N91" s="684">
        <f t="shared" si="23"/>
        <v>0.74432155608690198</v>
      </c>
      <c r="O91" s="684">
        <f t="shared" si="23"/>
        <v>1</v>
      </c>
      <c r="P91" s="684">
        <f t="shared" si="23"/>
        <v>1</v>
      </c>
      <c r="Q91" s="684">
        <f t="shared" si="23"/>
        <v>1</v>
      </c>
      <c r="R91" s="684">
        <f t="shared" si="23"/>
        <v>1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679"/>
      <c r="G92" s="670" t="s">
        <v>214</v>
      </c>
      <c r="H92" s="680">
        <f>H46</f>
        <v>-18.739000000000487</v>
      </c>
      <c r="I92" s="680">
        <f t="shared" ref="I92:R92" si="24">I46</f>
        <v>145.5920000000001</v>
      </c>
      <c r="J92" s="680">
        <f t="shared" si="24"/>
        <v>96.627999999999929</v>
      </c>
      <c r="K92" s="680">
        <f t="shared" si="24"/>
        <v>199.45900000000029</v>
      </c>
      <c r="L92" s="680">
        <f t="shared" si="24"/>
        <v>-109.01299999999992</v>
      </c>
      <c r="M92" s="680">
        <f t="shared" si="24"/>
        <v>-27.038999999999987</v>
      </c>
      <c r="N92" s="680">
        <f t="shared" si="24"/>
        <v>-1099.9999999999995</v>
      </c>
      <c r="O92" s="680">
        <f t="shared" si="24"/>
        <v>0</v>
      </c>
      <c r="P92" s="680">
        <f t="shared" si="24"/>
        <v>0</v>
      </c>
      <c r="Q92" s="680">
        <f t="shared" si="24"/>
        <v>0</v>
      </c>
      <c r="R92" s="680">
        <f t="shared" si="24"/>
        <v>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681">
        <v>-0.3</v>
      </c>
      <c r="E93" s="681">
        <v>0</v>
      </c>
      <c r="G93" s="18" t="s">
        <v>218</v>
      </c>
      <c r="H93" s="685">
        <f>H46/H33</f>
        <v>-6.544541930959602E-3</v>
      </c>
      <c r="I93" s="686">
        <f t="shared" ref="I93:R93" si="25">I46/I33</f>
        <v>9.9299409627115753E-2</v>
      </c>
      <c r="J93" s="686">
        <f t="shared" si="25"/>
        <v>5.6168685091942262E-2</v>
      </c>
      <c r="K93" s="686">
        <f t="shared" si="25"/>
        <v>4.5514673683984798E-2</v>
      </c>
      <c r="L93" s="686">
        <f t="shared" si="25"/>
        <v>-7.3656038939803783E-2</v>
      </c>
      <c r="M93" s="686">
        <f t="shared" si="25"/>
        <v>-1.6273280860493577E-2</v>
      </c>
      <c r="N93" s="686">
        <f t="shared" si="25"/>
        <v>-0.34350535977658397</v>
      </c>
      <c r="O93" s="686">
        <f t="shared" si="25"/>
        <v>0</v>
      </c>
      <c r="P93" s="686">
        <f t="shared" si="25"/>
        <v>0</v>
      </c>
      <c r="Q93" s="686">
        <f t="shared" si="25"/>
        <v>0</v>
      </c>
      <c r="R93" s="686">
        <f t="shared" si="25"/>
        <v>0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679"/>
      <c r="G94" s="186" t="s">
        <v>222</v>
      </c>
      <c r="H94" s="680">
        <f>H29+H30</f>
        <v>798.12199999999996</v>
      </c>
      <c r="I94" s="680">
        <f t="shared" ref="I94:R94" si="26">I29+I30</f>
        <v>944.99799999999993</v>
      </c>
      <c r="J94" s="680">
        <f t="shared" si="26"/>
        <v>1041.625</v>
      </c>
      <c r="K94" s="680">
        <f t="shared" si="26"/>
        <v>1241.085</v>
      </c>
      <c r="L94" s="680">
        <f t="shared" si="26"/>
        <v>1134.7460000000001</v>
      </c>
      <c r="M94" s="680">
        <f t="shared" si="26"/>
        <v>1108.125</v>
      </c>
      <c r="N94" s="680">
        <f t="shared" si="26"/>
        <v>8</v>
      </c>
      <c r="O94" s="680">
        <f t="shared" si="26"/>
        <v>8</v>
      </c>
      <c r="P94" s="680">
        <f t="shared" si="26"/>
        <v>8</v>
      </c>
      <c r="Q94" s="680">
        <f t="shared" si="26"/>
        <v>8</v>
      </c>
      <c r="R94" s="680">
        <f t="shared" si="26"/>
        <v>8</v>
      </c>
    </row>
    <row r="95" spans="1:18" x14ac:dyDescent="0.2">
      <c r="G95" s="68" t="s">
        <v>223</v>
      </c>
      <c r="H95" s="676">
        <f t="shared" ref="H95:R95" si="27">H87</f>
        <v>2011</v>
      </c>
      <c r="I95" s="676">
        <f t="shared" si="27"/>
        <v>2012</v>
      </c>
      <c r="J95" s="676">
        <f t="shared" si="27"/>
        <v>2013</v>
      </c>
      <c r="K95" s="676">
        <f t="shared" si="27"/>
        <v>2014</v>
      </c>
      <c r="L95" s="676">
        <f t="shared" si="27"/>
        <v>2015</v>
      </c>
      <c r="M95" s="676">
        <f t="shared" si="27"/>
        <v>2016</v>
      </c>
      <c r="N95" s="676">
        <f t="shared" si="27"/>
        <v>2017</v>
      </c>
      <c r="O95" s="676">
        <f t="shared" si="27"/>
        <v>2018</v>
      </c>
      <c r="P95" s="676">
        <f t="shared" si="27"/>
        <v>2019</v>
      </c>
      <c r="Q95" s="676">
        <f t="shared" si="27"/>
        <v>2020</v>
      </c>
      <c r="R95" s="676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679"/>
      <c r="F96" s="69"/>
      <c r="G96" s="670" t="s">
        <v>227</v>
      </c>
      <c r="H96" s="680">
        <f t="shared" ref="H96:R96" si="28">H6+H12</f>
        <v>819.69100000000003</v>
      </c>
      <c r="I96" s="671">
        <f t="shared" si="28"/>
        <v>986.06100000000004</v>
      </c>
      <c r="J96" s="671">
        <f t="shared" si="28"/>
        <v>1095.6310000000001</v>
      </c>
      <c r="K96" s="671">
        <f t="shared" si="28"/>
        <v>1271.308</v>
      </c>
      <c r="L96" s="671">
        <f t="shared" si="28"/>
        <v>1172.318</v>
      </c>
      <c r="M96" s="671">
        <f t="shared" si="28"/>
        <v>1121.4159999999999</v>
      </c>
      <c r="N96" s="671">
        <f t="shared" si="28"/>
        <v>21</v>
      </c>
      <c r="O96" s="671">
        <f t="shared" si="28"/>
        <v>21</v>
      </c>
      <c r="P96" s="671">
        <f t="shared" si="28"/>
        <v>21</v>
      </c>
      <c r="Q96" s="671">
        <f t="shared" si="28"/>
        <v>21</v>
      </c>
      <c r="R96" s="671">
        <f t="shared" si="28"/>
        <v>21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679"/>
      <c r="F97" s="69"/>
      <c r="G97" s="18" t="s">
        <v>230</v>
      </c>
      <c r="H97" s="680">
        <f>H19</f>
        <v>43.356999999999999</v>
      </c>
      <c r="I97" s="680">
        <f t="shared" ref="I97:R97" si="29">I19</f>
        <v>58.079000000000001</v>
      </c>
      <c r="J97" s="680">
        <f t="shared" si="29"/>
        <v>62.375999999999998</v>
      </c>
      <c r="K97" s="680">
        <f t="shared" si="29"/>
        <v>37.851999999999997</v>
      </c>
      <c r="L97" s="680">
        <f t="shared" si="29"/>
        <v>60.747999999999998</v>
      </c>
      <c r="M97" s="680">
        <f t="shared" si="29"/>
        <v>29.742999999999999</v>
      </c>
      <c r="N97" s="680">
        <f t="shared" si="29"/>
        <v>30</v>
      </c>
      <c r="O97" s="680">
        <f t="shared" si="29"/>
        <v>30</v>
      </c>
      <c r="P97" s="680">
        <f t="shared" si="29"/>
        <v>30</v>
      </c>
      <c r="Q97" s="680">
        <f t="shared" si="29"/>
        <v>30</v>
      </c>
      <c r="R97" s="680">
        <f t="shared" si="29"/>
        <v>30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679"/>
      <c r="F98" s="69"/>
      <c r="G98" s="18" t="s">
        <v>234</v>
      </c>
      <c r="H98" s="680">
        <f t="shared" ref="H98:R98" si="30">H97-H96</f>
        <v>-776.33400000000006</v>
      </c>
      <c r="I98" s="671">
        <f t="shared" si="30"/>
        <v>-927.98200000000008</v>
      </c>
      <c r="J98" s="671">
        <f t="shared" si="30"/>
        <v>-1033.2550000000001</v>
      </c>
      <c r="K98" s="671">
        <f t="shared" si="30"/>
        <v>-1233.4559999999999</v>
      </c>
      <c r="L98" s="671">
        <f t="shared" si="30"/>
        <v>-1111.57</v>
      </c>
      <c r="M98" s="671">
        <f t="shared" si="30"/>
        <v>-1091.673</v>
      </c>
      <c r="N98" s="671">
        <f t="shared" si="30"/>
        <v>9</v>
      </c>
      <c r="O98" s="671">
        <f t="shared" si="30"/>
        <v>9</v>
      </c>
      <c r="P98" s="671">
        <f t="shared" si="30"/>
        <v>9</v>
      </c>
      <c r="Q98" s="671">
        <f t="shared" si="30"/>
        <v>9</v>
      </c>
      <c r="R98" s="671">
        <f t="shared" si="30"/>
        <v>9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681">
        <v>0.4</v>
      </c>
      <c r="F99" s="69"/>
      <c r="G99" s="687" t="s">
        <v>238</v>
      </c>
      <c r="H99" s="688">
        <f t="shared" ref="H99:R99" si="31">H98/H33</f>
        <v>-0.27113241984254549</v>
      </c>
      <c r="I99" s="683">
        <f t="shared" si="31"/>
        <v>-0.63291983587415568</v>
      </c>
      <c r="J99" s="683">
        <f t="shared" si="31"/>
        <v>-0.60061860655995003</v>
      </c>
      <c r="K99" s="683">
        <f t="shared" si="31"/>
        <v>-0.28146309438808514</v>
      </c>
      <c r="L99" s="683">
        <f t="shared" si="31"/>
        <v>-0.75104660182104654</v>
      </c>
      <c r="M99" s="683">
        <f t="shared" si="31"/>
        <v>-0.65701769062530468</v>
      </c>
      <c r="N99" s="683">
        <f t="shared" si="31"/>
        <v>2.810498398172052E-3</v>
      </c>
      <c r="O99" s="683">
        <f t="shared" si="31"/>
        <v>4.5754956786985259E-3</v>
      </c>
      <c r="P99" s="683">
        <f t="shared" si="31"/>
        <v>1.927607624759049E-3</v>
      </c>
      <c r="Q99" s="683">
        <f t="shared" si="31"/>
        <v>5.6639395846444307E-3</v>
      </c>
      <c r="R99" s="683">
        <f t="shared" si="31"/>
        <v>5.2053209947946792E-3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689">
        <v>0</v>
      </c>
      <c r="E100" s="689">
        <v>5</v>
      </c>
      <c r="F100" s="69"/>
      <c r="G100" s="18" t="s">
        <v>242</v>
      </c>
      <c r="H100" s="684">
        <f t="shared" ref="H100:R100" si="32">H98/H89</f>
        <v>47.03059308172152</v>
      </c>
      <c r="I100" s="684">
        <f t="shared" si="32"/>
        <v>-6.3555187244883955</v>
      </c>
      <c r="J100" s="684">
        <f t="shared" si="32"/>
        <v>-10.611200115020447</v>
      </c>
      <c r="K100" s="684">
        <f t="shared" si="32"/>
        <v>-6.1840077409392311</v>
      </c>
      <c r="L100" s="684">
        <f t="shared" si="32"/>
        <v>10.196673791199222</v>
      </c>
      <c r="M100" s="684">
        <f t="shared" si="32"/>
        <v>40.37401531121715</v>
      </c>
      <c r="N100" s="684">
        <f t="shared" si="32"/>
        <v>-8.1818181818181859E-3</v>
      </c>
      <c r="O100" s="684" t="e">
        <f t="shared" si="32"/>
        <v>#DIV/0!</v>
      </c>
      <c r="P100" s="684" t="e">
        <f t="shared" si="32"/>
        <v>#DIV/0!</v>
      </c>
      <c r="Q100" s="684" t="e">
        <f t="shared" si="32"/>
        <v>#DIV/0!</v>
      </c>
      <c r="R100" s="684" t="e">
        <f t="shared" si="32"/>
        <v>#DIV/0!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679"/>
      <c r="F101" s="69"/>
      <c r="G101" s="18" t="s">
        <v>246</v>
      </c>
      <c r="H101" s="680">
        <f t="shared" ref="H101:R101" si="33">-(H75+H77+H78+H79+H80+H81)</f>
        <v>0</v>
      </c>
      <c r="I101" s="680">
        <f t="shared" si="33"/>
        <v>2.5000000000000001E-2</v>
      </c>
      <c r="J101" s="680">
        <f t="shared" si="33"/>
        <v>0</v>
      </c>
      <c r="K101" s="680">
        <f t="shared" si="33"/>
        <v>5.0000000000000001E-3</v>
      </c>
      <c r="L101" s="680">
        <f t="shared" si="33"/>
        <v>3.0000000000000001E-3</v>
      </c>
      <c r="M101" s="680">
        <f t="shared" si="33"/>
        <v>0</v>
      </c>
      <c r="N101" s="680">
        <f t="shared" si="33"/>
        <v>0</v>
      </c>
      <c r="O101" s="680">
        <f t="shared" si="33"/>
        <v>0</v>
      </c>
      <c r="P101" s="680">
        <f t="shared" si="33"/>
        <v>0</v>
      </c>
      <c r="Q101" s="680">
        <f t="shared" si="33"/>
        <v>0</v>
      </c>
      <c r="R101" s="680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689">
        <v>1.2</v>
      </c>
      <c r="F102" s="69"/>
      <c r="G102" s="18" t="s">
        <v>250</v>
      </c>
      <c r="H102" s="690" t="e">
        <f t="shared" ref="H102:R102" si="34">H89/H101</f>
        <v>#DIV/0!</v>
      </c>
      <c r="I102" s="684">
        <f t="shared" si="34"/>
        <v>5840.4800000000032</v>
      </c>
      <c r="J102" s="684" t="e">
        <f t="shared" si="34"/>
        <v>#DIV/0!</v>
      </c>
      <c r="K102" s="684">
        <f t="shared" si="34"/>
        <v>39891.800000000054</v>
      </c>
      <c r="L102" s="684">
        <f t="shared" si="34"/>
        <v>-36337.666666666642</v>
      </c>
      <c r="M102" s="684" t="e">
        <f t="shared" si="34"/>
        <v>#DIV/0!</v>
      </c>
      <c r="N102" s="684" t="e">
        <f t="shared" si="34"/>
        <v>#DIV/0!</v>
      </c>
      <c r="O102" s="684" t="e">
        <f t="shared" si="34"/>
        <v>#DIV/0!</v>
      </c>
      <c r="P102" s="684" t="e">
        <f t="shared" si="34"/>
        <v>#DIV/0!</v>
      </c>
      <c r="Q102" s="684" t="e">
        <f t="shared" si="34"/>
        <v>#DIV/0!</v>
      </c>
      <c r="R102" s="684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689">
        <v>0</v>
      </c>
      <c r="F103" s="69"/>
      <c r="G103" s="670" t="s">
        <v>254</v>
      </c>
      <c r="H103" s="680">
        <f t="shared" ref="H103:R103" si="35">H5-H20</f>
        <v>786.95200000000011</v>
      </c>
      <c r="I103" s="680">
        <f t="shared" si="35"/>
        <v>944.25100000000009</v>
      </c>
      <c r="J103" s="680">
        <f t="shared" si="35"/>
        <v>1041.625</v>
      </c>
      <c r="K103" s="680">
        <f t="shared" si="35"/>
        <v>1241.0839999999998</v>
      </c>
      <c r="L103" s="680">
        <f t="shared" si="35"/>
        <v>1134.7459999999999</v>
      </c>
      <c r="M103" s="680">
        <f t="shared" si="35"/>
        <v>1108.124</v>
      </c>
      <c r="N103" s="680">
        <f t="shared" si="35"/>
        <v>8</v>
      </c>
      <c r="O103" s="680">
        <f t="shared" si="35"/>
        <v>8</v>
      </c>
      <c r="P103" s="680">
        <f t="shared" si="35"/>
        <v>8</v>
      </c>
      <c r="Q103" s="680">
        <f t="shared" si="35"/>
        <v>8</v>
      </c>
      <c r="R103" s="680">
        <f t="shared" si="35"/>
        <v>8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689">
        <v>1</v>
      </c>
      <c r="F104" s="69"/>
      <c r="G104" s="18" t="s">
        <v>258</v>
      </c>
      <c r="H104" s="690">
        <f t="shared" ref="H104:R104" si="36">H5/H20</f>
        <v>19.150517794127826</v>
      </c>
      <c r="I104" s="690">
        <f t="shared" si="36"/>
        <v>17.258045076533687</v>
      </c>
      <c r="J104" s="690">
        <f t="shared" si="36"/>
        <v>17.699131076054893</v>
      </c>
      <c r="K104" s="690">
        <f t="shared" si="36"/>
        <v>33.787805135792034</v>
      </c>
      <c r="L104" s="690">
        <f t="shared" si="36"/>
        <v>19.679561467044181</v>
      </c>
      <c r="M104" s="690">
        <f t="shared" si="36"/>
        <v>38.256631812527317</v>
      </c>
      <c r="N104" s="690">
        <f t="shared" si="36"/>
        <v>1.2666666666666666</v>
      </c>
      <c r="O104" s="690">
        <f t="shared" si="36"/>
        <v>1.2666666666666666</v>
      </c>
      <c r="P104" s="690">
        <f t="shared" si="36"/>
        <v>1.2666666666666666</v>
      </c>
      <c r="Q104" s="690">
        <f t="shared" si="36"/>
        <v>1.2666666666666666</v>
      </c>
      <c r="R104" s="690">
        <f t="shared" si="36"/>
        <v>1.2666666666666666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689">
        <v>1</v>
      </c>
      <c r="F105" s="69"/>
      <c r="G105" s="186" t="s">
        <v>262</v>
      </c>
      <c r="H105" s="690">
        <f t="shared" ref="H105:R105" si="37">-H6/((H38+H41-H45+H47)/12)</f>
        <v>3.4204873319495541</v>
      </c>
      <c r="I105" s="690">
        <f t="shared" si="37"/>
        <v>8.9716945081340782</v>
      </c>
      <c r="J105" s="690">
        <f t="shared" si="37"/>
        <v>8.1010632529526596</v>
      </c>
      <c r="K105" s="690">
        <f t="shared" si="37"/>
        <v>3.6472039259384816</v>
      </c>
      <c r="L105" s="690">
        <f t="shared" si="37"/>
        <v>8.8679677980386593</v>
      </c>
      <c r="M105" s="690">
        <f t="shared" si="37"/>
        <v>7.9716499703057258</v>
      </c>
      <c r="N105" s="690">
        <f t="shared" si="37"/>
        <v>5.8573607151000677E-2</v>
      </c>
      <c r="O105" s="690">
        <f t="shared" si="37"/>
        <v>0.12811387900355872</v>
      </c>
      <c r="P105" s="690">
        <f t="shared" si="37"/>
        <v>5.3973013493253376E-2</v>
      </c>
      <c r="Q105" s="690">
        <f t="shared" si="37"/>
        <v>0.15859030837004406</v>
      </c>
      <c r="R105" s="690">
        <f t="shared" si="37"/>
        <v>0.145748987854251</v>
      </c>
    </row>
    <row r="106" spans="1:18" x14ac:dyDescent="0.2">
      <c r="C106" s="16"/>
      <c r="F106" s="69"/>
      <c r="G106" s="68" t="s">
        <v>263</v>
      </c>
      <c r="H106" s="676">
        <f t="shared" ref="H106:R106" si="38">H95</f>
        <v>2011</v>
      </c>
      <c r="I106" s="676">
        <f t="shared" si="38"/>
        <v>2012</v>
      </c>
      <c r="J106" s="676">
        <f t="shared" si="38"/>
        <v>2013</v>
      </c>
      <c r="K106" s="676">
        <f t="shared" si="38"/>
        <v>2014</v>
      </c>
      <c r="L106" s="676">
        <f t="shared" si="38"/>
        <v>2015</v>
      </c>
      <c r="M106" s="676">
        <f t="shared" si="38"/>
        <v>2016</v>
      </c>
      <c r="N106" s="676">
        <f t="shared" si="38"/>
        <v>2017</v>
      </c>
      <c r="O106" s="676">
        <f t="shared" si="38"/>
        <v>2018</v>
      </c>
      <c r="P106" s="676">
        <f t="shared" si="38"/>
        <v>2019</v>
      </c>
      <c r="Q106" s="676">
        <f t="shared" si="38"/>
        <v>2020</v>
      </c>
      <c r="R106" s="676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681">
        <v>0.6</v>
      </c>
      <c r="F107" s="69"/>
      <c r="G107" s="670" t="s">
        <v>267</v>
      </c>
      <c r="H107" s="688">
        <f t="shared" ref="H107:R107" si="39">H17/H4</f>
        <v>0</v>
      </c>
      <c r="I107" s="688">
        <f t="shared" si="39"/>
        <v>0</v>
      </c>
      <c r="J107" s="688">
        <f t="shared" si="39"/>
        <v>0</v>
      </c>
      <c r="K107" s="688">
        <f t="shared" si="39"/>
        <v>0</v>
      </c>
      <c r="L107" s="688">
        <f t="shared" si="39"/>
        <v>0</v>
      </c>
      <c r="M107" s="688">
        <f t="shared" si="39"/>
        <v>0</v>
      </c>
      <c r="N107" s="688">
        <f t="shared" si="39"/>
        <v>0</v>
      </c>
      <c r="O107" s="688">
        <f t="shared" si="39"/>
        <v>0</v>
      </c>
      <c r="P107" s="688">
        <f t="shared" si="39"/>
        <v>0</v>
      </c>
      <c r="Q107" s="688">
        <f t="shared" si="39"/>
        <v>0</v>
      </c>
      <c r="R107" s="688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681">
        <v>0.4</v>
      </c>
      <c r="F108" s="69"/>
      <c r="G108" s="186" t="s">
        <v>271</v>
      </c>
      <c r="H108" s="688" t="e">
        <f t="shared" ref="H108:R108" si="40">H27/H17</f>
        <v>#DIV/0!</v>
      </c>
      <c r="I108" s="688" t="e">
        <f t="shared" si="40"/>
        <v>#DIV/0!</v>
      </c>
      <c r="J108" s="688" t="e">
        <f t="shared" si="40"/>
        <v>#DIV/0!</v>
      </c>
      <c r="K108" s="688" t="e">
        <f t="shared" si="40"/>
        <v>#DIV/0!</v>
      </c>
      <c r="L108" s="688" t="e">
        <f t="shared" si="40"/>
        <v>#DIV/0!</v>
      </c>
      <c r="M108" s="688" t="e">
        <f t="shared" si="40"/>
        <v>#DIV/0!</v>
      </c>
      <c r="N108" s="688" t="e">
        <f t="shared" si="40"/>
        <v>#DIV/0!</v>
      </c>
      <c r="O108" s="688" t="e">
        <f t="shared" si="40"/>
        <v>#DIV/0!</v>
      </c>
      <c r="P108" s="688" t="e">
        <f t="shared" si="40"/>
        <v>#DIV/0!</v>
      </c>
      <c r="Q108" s="688" t="e">
        <f t="shared" si="40"/>
        <v>#DIV/0!</v>
      </c>
      <c r="R108" s="688" t="e">
        <f t="shared" si="40"/>
        <v>#DIV/0!</v>
      </c>
    </row>
    <row r="109" spans="1:18" x14ac:dyDescent="0.2">
      <c r="C109" s="16"/>
      <c r="F109" s="69"/>
      <c r="G109" s="198" t="s">
        <v>272</v>
      </c>
      <c r="H109" s="676">
        <f t="shared" ref="H109:R109" si="41">H95</f>
        <v>2011</v>
      </c>
      <c r="I109" s="676">
        <f t="shared" si="41"/>
        <v>2012</v>
      </c>
      <c r="J109" s="676">
        <f t="shared" si="41"/>
        <v>2013</v>
      </c>
      <c r="K109" s="676">
        <f t="shared" si="41"/>
        <v>2014</v>
      </c>
      <c r="L109" s="676">
        <f t="shared" si="41"/>
        <v>2015</v>
      </c>
      <c r="M109" s="676">
        <f t="shared" si="41"/>
        <v>2016</v>
      </c>
      <c r="N109" s="676">
        <f t="shared" si="41"/>
        <v>2017</v>
      </c>
      <c r="O109" s="676">
        <f t="shared" si="41"/>
        <v>2018</v>
      </c>
      <c r="P109" s="676">
        <f t="shared" si="41"/>
        <v>2019</v>
      </c>
      <c r="Q109" s="676">
        <f t="shared" si="41"/>
        <v>2020</v>
      </c>
      <c r="R109" s="676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679"/>
      <c r="F110" s="69"/>
      <c r="G110" s="18" t="s">
        <v>276</v>
      </c>
      <c r="H110" s="691">
        <f t="shared" ref="H110:R110" si="42">H10/H4</f>
        <v>1.3274246891485111E-2</v>
      </c>
      <c r="I110" s="691">
        <f t="shared" si="42"/>
        <v>7.4371234083957748E-4</v>
      </c>
      <c r="J110" s="691">
        <f t="shared" si="42"/>
        <v>0</v>
      </c>
      <c r="K110" s="691">
        <f t="shared" si="42"/>
        <v>0</v>
      </c>
      <c r="L110" s="691">
        <f t="shared" si="42"/>
        <v>0</v>
      </c>
      <c r="M110" s="691">
        <f t="shared" si="42"/>
        <v>0</v>
      </c>
      <c r="N110" s="691">
        <f t="shared" si="42"/>
        <v>0</v>
      </c>
      <c r="O110" s="691">
        <f t="shared" si="42"/>
        <v>0</v>
      </c>
      <c r="P110" s="691">
        <f t="shared" si="42"/>
        <v>0</v>
      </c>
      <c r="Q110" s="691">
        <f t="shared" si="42"/>
        <v>0</v>
      </c>
      <c r="R110" s="691">
        <f t="shared" si="42"/>
        <v>0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679"/>
      <c r="F111" s="69"/>
      <c r="G111" s="18" t="s">
        <v>280</v>
      </c>
      <c r="H111" s="691">
        <f t="shared" ref="H111:R111" si="43">-(H58)/H15</f>
        <v>0</v>
      </c>
      <c r="I111" s="691">
        <f t="shared" si="43"/>
        <v>0</v>
      </c>
      <c r="J111" s="691" t="e">
        <f t="shared" si="43"/>
        <v>#DIV/0!</v>
      </c>
      <c r="K111" s="691" t="e">
        <f t="shared" si="43"/>
        <v>#DIV/0!</v>
      </c>
      <c r="L111" s="691" t="e">
        <f t="shared" si="43"/>
        <v>#DIV/0!</v>
      </c>
      <c r="M111" s="691" t="e">
        <f t="shared" si="43"/>
        <v>#DIV/0!</v>
      </c>
      <c r="N111" s="691" t="e">
        <f t="shared" si="43"/>
        <v>#DIV/0!</v>
      </c>
      <c r="O111" s="691" t="e">
        <f t="shared" si="43"/>
        <v>#DIV/0!</v>
      </c>
      <c r="P111" s="691" t="e">
        <f t="shared" si="43"/>
        <v>#DIV/0!</v>
      </c>
      <c r="Q111" s="691" t="e">
        <f t="shared" si="43"/>
        <v>#DIV/0!</v>
      </c>
      <c r="R111" s="691" t="e">
        <f t="shared" si="43"/>
        <v>#DIV/0!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679"/>
      <c r="F112" s="69"/>
      <c r="G112" s="670" t="s">
        <v>284</v>
      </c>
      <c r="H112" s="684">
        <f t="shared" ref="H112:R112" si="44">H33/H4</f>
        <v>3.4027016716994716</v>
      </c>
      <c r="I112" s="684">
        <f t="shared" si="44"/>
        <v>1.4616958236464634</v>
      </c>
      <c r="J112" s="684">
        <f t="shared" si="44"/>
        <v>1.5582576465057549</v>
      </c>
      <c r="K112" s="684">
        <f t="shared" si="44"/>
        <v>3.426520951791177</v>
      </c>
      <c r="L112" s="684">
        <f t="shared" si="44"/>
        <v>1.2380053768567638</v>
      </c>
      <c r="M112" s="684">
        <f t="shared" si="44"/>
        <v>1.4602392019453945</v>
      </c>
      <c r="N112" s="684">
        <f t="shared" si="44"/>
        <v>84.270499999999998</v>
      </c>
      <c r="O112" s="684">
        <f t="shared" si="44"/>
        <v>51.763157894736842</v>
      </c>
      <c r="P112" s="684">
        <f t="shared" si="44"/>
        <v>122.86842105263158</v>
      </c>
      <c r="Q112" s="684">
        <f t="shared" si="44"/>
        <v>41.815789473684212</v>
      </c>
      <c r="R112" s="684">
        <f t="shared" si="44"/>
        <v>45.5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679"/>
      <c r="F113" s="69"/>
      <c r="G113" s="186" t="s">
        <v>288</v>
      </c>
      <c r="H113" s="684">
        <f t="shared" ref="H113:R113" si="45">H33/H15</f>
        <v>256.33858549686659</v>
      </c>
      <c r="I113" s="684">
        <f t="shared" si="45"/>
        <v>1965.4048257372654</v>
      </c>
      <c r="J113" s="684" t="e">
        <f t="shared" si="45"/>
        <v>#DIV/0!</v>
      </c>
      <c r="K113" s="684" t="e">
        <f t="shared" si="45"/>
        <v>#DIV/0!</v>
      </c>
      <c r="L113" s="684" t="e">
        <f t="shared" si="45"/>
        <v>#DIV/0!</v>
      </c>
      <c r="M113" s="684" t="e">
        <f t="shared" si="45"/>
        <v>#DIV/0!</v>
      </c>
      <c r="N113" s="684" t="e">
        <f t="shared" si="45"/>
        <v>#DIV/0!</v>
      </c>
      <c r="O113" s="684" t="e">
        <f t="shared" si="45"/>
        <v>#DIV/0!</v>
      </c>
      <c r="P113" s="684" t="e">
        <f t="shared" si="45"/>
        <v>#DIV/0!</v>
      </c>
      <c r="Q113" s="684" t="e">
        <f t="shared" si="45"/>
        <v>#DIV/0!</v>
      </c>
      <c r="R113" s="684" t="e">
        <f t="shared" si="45"/>
        <v>#DIV/0!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681">
        <v>0.5</v>
      </c>
      <c r="E114" s="681">
        <f>1/3</f>
        <v>0.33333333333333331</v>
      </c>
      <c r="F114" s="69"/>
      <c r="G114" s="18" t="s">
        <v>292</v>
      </c>
      <c r="H114" s="691">
        <f t="shared" ref="H114:R114" si="46">H27/H4</f>
        <v>0.94847524418315832</v>
      </c>
      <c r="I114" s="691">
        <f t="shared" si="46"/>
        <v>0.94210010009211653</v>
      </c>
      <c r="J114" s="691">
        <f t="shared" si="46"/>
        <v>0.94350005117748992</v>
      </c>
      <c r="K114" s="691">
        <f t="shared" si="46"/>
        <v>0.97040430482838869</v>
      </c>
      <c r="L114" s="691">
        <f t="shared" si="46"/>
        <v>0.94918585956934975</v>
      </c>
      <c r="M114" s="691">
        <f t="shared" si="46"/>
        <v>0.97386162003116361</v>
      </c>
      <c r="N114" s="691">
        <f t="shared" si="46"/>
        <v>0.21052631578947367</v>
      </c>
      <c r="O114" s="691">
        <f t="shared" si="46"/>
        <v>0.21052631578947367</v>
      </c>
      <c r="P114" s="691">
        <f t="shared" si="46"/>
        <v>0.21052631578947367</v>
      </c>
      <c r="Q114" s="691">
        <f t="shared" si="46"/>
        <v>0.21052631578947367</v>
      </c>
      <c r="R114" s="691">
        <f t="shared" si="46"/>
        <v>0.21052631578947367</v>
      </c>
    </row>
    <row r="115" spans="1:19" x14ac:dyDescent="0.2">
      <c r="A115" s="77"/>
      <c r="C115" s="77"/>
      <c r="D115" s="78"/>
      <c r="E115" s="79"/>
      <c r="F115" s="69"/>
      <c r="G115" s="668" t="s">
        <v>293</v>
      </c>
      <c r="H115" s="676">
        <f t="shared" ref="H115:R115" si="47">H109</f>
        <v>2011</v>
      </c>
      <c r="I115" s="676">
        <f t="shared" si="47"/>
        <v>2012</v>
      </c>
      <c r="J115" s="676">
        <f t="shared" si="47"/>
        <v>2013</v>
      </c>
      <c r="K115" s="676">
        <f t="shared" si="47"/>
        <v>2014</v>
      </c>
      <c r="L115" s="676">
        <f t="shared" si="47"/>
        <v>2015</v>
      </c>
      <c r="M115" s="676">
        <f t="shared" si="47"/>
        <v>2016</v>
      </c>
      <c r="N115" s="676">
        <f t="shared" si="47"/>
        <v>2017</v>
      </c>
      <c r="O115" s="676">
        <f t="shared" si="47"/>
        <v>2018</v>
      </c>
      <c r="P115" s="676">
        <f t="shared" si="47"/>
        <v>2019</v>
      </c>
      <c r="Q115" s="676">
        <f t="shared" si="47"/>
        <v>2020</v>
      </c>
      <c r="R115" s="676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681">
        <v>0.05</v>
      </c>
      <c r="G116" s="670" t="s">
        <v>297</v>
      </c>
      <c r="H116" s="683">
        <f t="shared" ref="H116:R116" si="48">H35/H33</f>
        <v>0.20751810322487815</v>
      </c>
      <c r="I116" s="683">
        <f t="shared" si="48"/>
        <v>2.0827422329408426E-2</v>
      </c>
      <c r="J116" s="683">
        <f t="shared" si="48"/>
        <v>0.14735647711644009</v>
      </c>
      <c r="K116" s="683">
        <f t="shared" si="48"/>
        <v>0.33271288302651958</v>
      </c>
      <c r="L116" s="683">
        <f t="shared" si="48"/>
        <v>5.8647539100611609E-4</v>
      </c>
      <c r="M116" s="683">
        <f t="shared" si="48"/>
        <v>0.10481427672100523</v>
      </c>
      <c r="N116" s="683">
        <f t="shared" si="48"/>
        <v>0.1342793679126647</v>
      </c>
      <c r="O116" s="683">
        <f t="shared" si="48"/>
        <v>0.12658871377732589</v>
      </c>
      <c r="P116" s="683">
        <f t="shared" si="48"/>
        <v>0.29985007496251875</v>
      </c>
      <c r="Q116" s="683">
        <f t="shared" si="48"/>
        <v>3.7759597230962873E-2</v>
      </c>
      <c r="R116" s="683">
        <f t="shared" si="48"/>
        <v>0.1156737998843262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681">
        <v>0.95</v>
      </c>
      <c r="G117" s="18" t="s">
        <v>301</v>
      </c>
      <c r="H117" s="691">
        <f t="shared" ref="H117:R117" si="49">(H36+H34)/H33</f>
        <v>0.79248189677512193</v>
      </c>
      <c r="I117" s="691">
        <f t="shared" si="49"/>
        <v>0.98201667994369091</v>
      </c>
      <c r="J117" s="691">
        <f t="shared" si="49"/>
        <v>0.85264352288355993</v>
      </c>
      <c r="K117" s="691">
        <f t="shared" si="49"/>
        <v>0.66728711697348031</v>
      </c>
      <c r="L117" s="691">
        <f t="shared" si="49"/>
        <v>0.99941352460899391</v>
      </c>
      <c r="M117" s="691">
        <f t="shared" si="49"/>
        <v>0.89008508881423343</v>
      </c>
      <c r="N117" s="691">
        <f t="shared" si="49"/>
        <v>0.8657206320873353</v>
      </c>
      <c r="O117" s="691">
        <f t="shared" si="49"/>
        <v>0.87341128622267417</v>
      </c>
      <c r="P117" s="691">
        <f t="shared" si="49"/>
        <v>0.7001499250374813</v>
      </c>
      <c r="Q117" s="691">
        <f t="shared" si="49"/>
        <v>0.96224040276903711</v>
      </c>
      <c r="R117" s="691">
        <f t="shared" si="49"/>
        <v>0.88432620011567376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681">
        <v>0.95</v>
      </c>
      <c r="G118" s="186" t="s">
        <v>305</v>
      </c>
      <c r="H118" s="683">
        <f t="shared" ref="H118:R118" si="50">H38/(H38+H41)</f>
        <v>5.6675807179703552E-2</v>
      </c>
      <c r="I118" s="683">
        <f t="shared" si="50"/>
        <v>0</v>
      </c>
      <c r="J118" s="683">
        <f t="shared" si="50"/>
        <v>0</v>
      </c>
      <c r="K118" s="683">
        <f t="shared" si="50"/>
        <v>4.2638474032727032E-2</v>
      </c>
      <c r="L118" s="683">
        <f t="shared" si="50"/>
        <v>0</v>
      </c>
      <c r="M118" s="683">
        <f t="shared" si="50"/>
        <v>0</v>
      </c>
      <c r="N118" s="683">
        <f t="shared" si="50"/>
        <v>0</v>
      </c>
      <c r="O118" s="683">
        <f t="shared" si="50"/>
        <v>0</v>
      </c>
      <c r="P118" s="683">
        <f t="shared" si="50"/>
        <v>0</v>
      </c>
      <c r="Q118" s="683">
        <f t="shared" si="50"/>
        <v>0</v>
      </c>
      <c r="R118" s="683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668" t="s">
        <v>306</v>
      </c>
      <c r="H119" s="676">
        <f>H115</f>
        <v>2011</v>
      </c>
      <c r="I119" s="676">
        <f t="shared" ref="I119:R119" si="51">I115</f>
        <v>2012</v>
      </c>
      <c r="J119" s="676">
        <f t="shared" si="51"/>
        <v>2013</v>
      </c>
      <c r="K119" s="676">
        <f t="shared" si="51"/>
        <v>2014</v>
      </c>
      <c r="L119" s="676">
        <f t="shared" si="51"/>
        <v>2015</v>
      </c>
      <c r="M119" s="676">
        <f t="shared" si="51"/>
        <v>2016</v>
      </c>
      <c r="N119" s="676">
        <f t="shared" si="51"/>
        <v>2017</v>
      </c>
      <c r="O119" s="676">
        <f t="shared" si="51"/>
        <v>2018</v>
      </c>
      <c r="P119" s="676">
        <f t="shared" si="51"/>
        <v>2019</v>
      </c>
      <c r="Q119" s="676">
        <f t="shared" si="51"/>
        <v>2020</v>
      </c>
      <c r="R119" s="676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692">
        <v>0.5</v>
      </c>
      <c r="E120" s="693" t="s">
        <v>310</v>
      </c>
      <c r="F120" s="4"/>
      <c r="G120" s="670" t="s">
        <v>311</v>
      </c>
      <c r="H120" s="684" t="str">
        <f t="shared" ref="H120:R120" si="52">IF(H116&lt;$D$120,$E$120,H35/H4)</f>
        <v>N/A</v>
      </c>
      <c r="I120" s="684" t="str">
        <f t="shared" si="52"/>
        <v>N/A</v>
      </c>
      <c r="J120" s="684" t="str">
        <f t="shared" si="52"/>
        <v>N/A</v>
      </c>
      <c r="K120" s="684" t="str">
        <f t="shared" si="52"/>
        <v>N/A</v>
      </c>
      <c r="L120" s="684" t="str">
        <f t="shared" si="52"/>
        <v>N/A</v>
      </c>
      <c r="M120" s="684" t="str">
        <f t="shared" si="52"/>
        <v>N/A</v>
      </c>
      <c r="N120" s="684" t="str">
        <f t="shared" si="52"/>
        <v>N/A</v>
      </c>
      <c r="O120" s="684" t="str">
        <f t="shared" si="52"/>
        <v>N/A</v>
      </c>
      <c r="P120" s="684" t="str">
        <f t="shared" si="52"/>
        <v>N/A</v>
      </c>
      <c r="Q120" s="684" t="str">
        <f t="shared" si="52"/>
        <v>N/A</v>
      </c>
      <c r="R120" s="684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692">
        <v>0.5</v>
      </c>
      <c r="E121" s="693" t="s">
        <v>310</v>
      </c>
      <c r="F121" s="4"/>
      <c r="G121" s="18" t="s">
        <v>315</v>
      </c>
      <c r="H121" s="684" t="str">
        <f t="shared" ref="H121:R121" si="53">IF(H116&lt;$D$121,$E$121,H35/H15)</f>
        <v>N/A</v>
      </c>
      <c r="I121" s="684" t="str">
        <f t="shared" si="53"/>
        <v>N/A</v>
      </c>
      <c r="J121" s="684" t="str">
        <f t="shared" si="53"/>
        <v>N/A</v>
      </c>
      <c r="K121" s="684" t="str">
        <f t="shared" si="53"/>
        <v>N/A</v>
      </c>
      <c r="L121" s="684" t="str">
        <f t="shared" si="53"/>
        <v>N/A</v>
      </c>
      <c r="M121" s="684" t="str">
        <f t="shared" si="53"/>
        <v>N/A</v>
      </c>
      <c r="N121" s="684" t="str">
        <f t="shared" si="53"/>
        <v>N/A</v>
      </c>
      <c r="O121" s="684" t="str">
        <f t="shared" si="53"/>
        <v>N/A</v>
      </c>
      <c r="P121" s="684" t="str">
        <f t="shared" si="53"/>
        <v>N/A</v>
      </c>
      <c r="Q121" s="684" t="str">
        <f t="shared" si="53"/>
        <v>N/A</v>
      </c>
      <c r="R121" s="684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692">
        <v>0.5</v>
      </c>
      <c r="E122" s="693" t="s">
        <v>310</v>
      </c>
      <c r="F122" s="4"/>
      <c r="G122" s="670" t="s">
        <v>318</v>
      </c>
      <c r="H122" s="691" t="str">
        <f t="shared" ref="H122:R122" si="54">IF(H116&lt;$D$122,$E$122,H46/H33)</f>
        <v>N/A</v>
      </c>
      <c r="I122" s="691" t="str">
        <f t="shared" si="54"/>
        <v>N/A</v>
      </c>
      <c r="J122" s="691" t="str">
        <f t="shared" si="54"/>
        <v>N/A</v>
      </c>
      <c r="K122" s="691" t="str">
        <f t="shared" si="54"/>
        <v>N/A</v>
      </c>
      <c r="L122" s="691" t="str">
        <f t="shared" si="54"/>
        <v>N/A</v>
      </c>
      <c r="M122" s="691" t="str">
        <f t="shared" si="54"/>
        <v>N/A</v>
      </c>
      <c r="N122" s="691" t="str">
        <f t="shared" si="54"/>
        <v>N/A</v>
      </c>
      <c r="O122" s="691" t="str">
        <f t="shared" si="54"/>
        <v>N/A</v>
      </c>
      <c r="P122" s="691" t="str">
        <f t="shared" si="54"/>
        <v>N/A</v>
      </c>
      <c r="Q122" s="691" t="str">
        <f t="shared" si="54"/>
        <v>N/A</v>
      </c>
      <c r="R122" s="691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692">
        <v>0.5</v>
      </c>
      <c r="E123" s="693" t="s">
        <v>310</v>
      </c>
      <c r="F123" s="4"/>
      <c r="G123" s="18" t="s">
        <v>322</v>
      </c>
      <c r="H123" s="691" t="str">
        <f t="shared" ref="H123:R123" si="55">IF(H116&lt;$D$122,$E$123,H51/H33)</f>
        <v>N/A</v>
      </c>
      <c r="I123" s="691" t="str">
        <f t="shared" si="55"/>
        <v>N/A</v>
      </c>
      <c r="J123" s="691" t="str">
        <f t="shared" si="55"/>
        <v>N/A</v>
      </c>
      <c r="K123" s="691" t="str">
        <f t="shared" si="55"/>
        <v>N/A</v>
      </c>
      <c r="L123" s="691" t="str">
        <f t="shared" si="55"/>
        <v>N/A</v>
      </c>
      <c r="M123" s="691" t="str">
        <f t="shared" si="55"/>
        <v>N/A</v>
      </c>
      <c r="N123" s="691" t="str">
        <f t="shared" si="55"/>
        <v>N/A</v>
      </c>
      <c r="O123" s="691" t="str">
        <f t="shared" si="55"/>
        <v>N/A</v>
      </c>
      <c r="P123" s="691" t="str">
        <f t="shared" si="55"/>
        <v>N/A</v>
      </c>
      <c r="Q123" s="691" t="str">
        <f t="shared" si="55"/>
        <v>N/A</v>
      </c>
      <c r="R123" s="691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692">
        <v>0.5</v>
      </c>
      <c r="E124" s="693" t="s">
        <v>310</v>
      </c>
      <c r="F124" s="4"/>
      <c r="G124" s="18" t="s">
        <v>326</v>
      </c>
      <c r="H124" s="691" t="str">
        <f t="shared" ref="H124:R124" si="56">IF(H116&lt;$D$124,$E$124,H51/H4)</f>
        <v>N/A</v>
      </c>
      <c r="I124" s="691" t="str">
        <f t="shared" si="56"/>
        <v>N/A</v>
      </c>
      <c r="J124" s="691" t="str">
        <f t="shared" si="56"/>
        <v>N/A</v>
      </c>
      <c r="K124" s="691" t="str">
        <f t="shared" si="56"/>
        <v>N/A</v>
      </c>
      <c r="L124" s="691" t="str">
        <f t="shared" si="56"/>
        <v>N/A</v>
      </c>
      <c r="M124" s="691" t="str">
        <f t="shared" si="56"/>
        <v>N/A</v>
      </c>
      <c r="N124" s="691" t="str">
        <f t="shared" si="56"/>
        <v>N/A</v>
      </c>
      <c r="O124" s="691" t="str">
        <f t="shared" si="56"/>
        <v>N/A</v>
      </c>
      <c r="P124" s="691" t="str">
        <f t="shared" si="56"/>
        <v>N/A</v>
      </c>
      <c r="Q124" s="691" t="str">
        <f t="shared" si="56"/>
        <v>N/A</v>
      </c>
      <c r="R124" s="691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692">
        <v>0.5</v>
      </c>
      <c r="E125" s="693" t="s">
        <v>310</v>
      </c>
      <c r="F125" s="4"/>
      <c r="G125" s="186" t="s">
        <v>330</v>
      </c>
      <c r="H125" s="691" t="str">
        <f t="shared" ref="H125:R125" si="57">IF(H116&lt;$D$125,$E$125,H51/H27)</f>
        <v>N/A</v>
      </c>
      <c r="I125" s="691" t="str">
        <f t="shared" si="57"/>
        <v>N/A</v>
      </c>
      <c r="J125" s="691" t="str">
        <f t="shared" si="57"/>
        <v>N/A</v>
      </c>
      <c r="K125" s="691" t="str">
        <f t="shared" si="57"/>
        <v>N/A</v>
      </c>
      <c r="L125" s="691" t="str">
        <f t="shared" si="57"/>
        <v>N/A</v>
      </c>
      <c r="M125" s="691" t="str">
        <f t="shared" si="57"/>
        <v>N/A</v>
      </c>
      <c r="N125" s="691" t="str">
        <f t="shared" si="57"/>
        <v>N/A</v>
      </c>
      <c r="O125" s="691" t="str">
        <f t="shared" si="57"/>
        <v>N/A</v>
      </c>
      <c r="P125" s="691" t="str">
        <f t="shared" si="57"/>
        <v>N/A</v>
      </c>
      <c r="Q125" s="691" t="str">
        <f t="shared" si="57"/>
        <v>N/A</v>
      </c>
      <c r="R125" s="691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676">
        <f>H119</f>
        <v>2011</v>
      </c>
      <c r="I127" s="676">
        <f t="shared" ref="I127:R127" si="58">I119</f>
        <v>2012</v>
      </c>
      <c r="J127" s="676">
        <f t="shared" si="58"/>
        <v>2013</v>
      </c>
      <c r="K127" s="676">
        <f t="shared" si="58"/>
        <v>2014</v>
      </c>
      <c r="L127" s="676">
        <f t="shared" si="58"/>
        <v>2015</v>
      </c>
      <c r="M127" s="676">
        <f t="shared" si="58"/>
        <v>2016</v>
      </c>
      <c r="N127" s="676">
        <f t="shared" si="58"/>
        <v>2017</v>
      </c>
      <c r="O127" s="676">
        <f t="shared" si="58"/>
        <v>2018</v>
      </c>
      <c r="P127" s="676">
        <f t="shared" si="58"/>
        <v>2019</v>
      </c>
      <c r="Q127" s="676">
        <f t="shared" si="58"/>
        <v>2020</v>
      </c>
      <c r="R127" s="676">
        <f t="shared" si="58"/>
        <v>2021</v>
      </c>
    </row>
    <row r="128" spans="1:19" x14ac:dyDescent="0.2">
      <c r="G128" s="694" t="s">
        <v>331</v>
      </c>
      <c r="H128" s="695">
        <f t="shared" ref="H128:R128" si="59">H33</f>
        <v>2863.3019999999997</v>
      </c>
      <c r="I128" s="695">
        <f t="shared" si="59"/>
        <v>1466.192</v>
      </c>
      <c r="J128" s="695">
        <f t="shared" si="59"/>
        <v>1720.318</v>
      </c>
      <c r="K128" s="695">
        <f t="shared" si="59"/>
        <v>4382.3010000000004</v>
      </c>
      <c r="L128" s="695">
        <f t="shared" si="59"/>
        <v>1480.028</v>
      </c>
      <c r="M128" s="695">
        <f t="shared" si="59"/>
        <v>1661.558</v>
      </c>
      <c r="N128" s="695">
        <f t="shared" si="59"/>
        <v>3202.279</v>
      </c>
      <c r="O128" s="695">
        <v>1718</v>
      </c>
      <c r="P128" s="695">
        <f t="shared" si="59"/>
        <v>4669</v>
      </c>
      <c r="Q128" s="695">
        <f t="shared" si="59"/>
        <v>1589</v>
      </c>
      <c r="R128" s="695">
        <f t="shared" si="59"/>
        <v>1729</v>
      </c>
    </row>
    <row r="129" spans="3:19" x14ac:dyDescent="0.2">
      <c r="G129" s="694" t="s">
        <v>332</v>
      </c>
      <c r="H129" s="695">
        <f t="shared" ref="H129:R130" si="60">H35</f>
        <v>594.18700000000001</v>
      </c>
      <c r="I129" s="695">
        <f t="shared" si="60"/>
        <v>30.536999999999999</v>
      </c>
      <c r="J129" s="695">
        <f t="shared" si="60"/>
        <v>253.5</v>
      </c>
      <c r="K129" s="695">
        <f t="shared" si="60"/>
        <v>1458.048</v>
      </c>
      <c r="L129" s="695">
        <f t="shared" si="60"/>
        <v>0.86799999999999999</v>
      </c>
      <c r="M129" s="695">
        <f t="shared" si="60"/>
        <v>174.155</v>
      </c>
      <c r="N129" s="695">
        <f t="shared" si="60"/>
        <v>430</v>
      </c>
      <c r="O129" s="695">
        <f t="shared" si="60"/>
        <v>249</v>
      </c>
      <c r="P129" s="695">
        <f t="shared" si="60"/>
        <v>1400</v>
      </c>
      <c r="Q129" s="695">
        <f t="shared" si="60"/>
        <v>60</v>
      </c>
      <c r="R129" s="695">
        <f t="shared" si="60"/>
        <v>200</v>
      </c>
    </row>
    <row r="130" spans="3:19" x14ac:dyDescent="0.2">
      <c r="G130" s="694" t="s">
        <v>333</v>
      </c>
      <c r="H130" s="695">
        <f t="shared" si="60"/>
        <v>2269.1149999999998</v>
      </c>
      <c r="I130" s="695">
        <f t="shared" si="60"/>
        <v>1439.825</v>
      </c>
      <c r="J130" s="695">
        <f t="shared" si="60"/>
        <v>1466.818</v>
      </c>
      <c r="K130" s="695">
        <f t="shared" si="60"/>
        <v>2924.2530000000002</v>
      </c>
      <c r="L130" s="695">
        <f t="shared" si="60"/>
        <v>1479.16</v>
      </c>
      <c r="M130" s="695">
        <f t="shared" si="60"/>
        <v>1478.9280000000001</v>
      </c>
      <c r="N130" s="695">
        <f t="shared" si="60"/>
        <v>2772.279</v>
      </c>
      <c r="O130" s="695">
        <v>1469</v>
      </c>
      <c r="P130" s="695">
        <f t="shared" si="60"/>
        <v>3269</v>
      </c>
      <c r="Q130" s="695">
        <f t="shared" si="60"/>
        <v>1529</v>
      </c>
      <c r="R130" s="695">
        <f t="shared" si="60"/>
        <v>1529</v>
      </c>
    </row>
    <row r="131" spans="3:19" x14ac:dyDescent="0.2">
      <c r="G131" s="694" t="s">
        <v>334</v>
      </c>
      <c r="H131" s="695">
        <f t="shared" ref="H131:R131" si="61">H38+H41</f>
        <v>-2882.0410000000002</v>
      </c>
      <c r="I131" s="695">
        <f t="shared" si="61"/>
        <v>-1320.6</v>
      </c>
      <c r="J131" s="695">
        <f t="shared" si="61"/>
        <v>-1623.69</v>
      </c>
      <c r="K131" s="695">
        <f t="shared" si="61"/>
        <v>-4182.8419999999996</v>
      </c>
      <c r="L131" s="695">
        <f t="shared" si="61"/>
        <v>-1589.0409999999999</v>
      </c>
      <c r="M131" s="695">
        <f t="shared" si="61"/>
        <v>-1688.597</v>
      </c>
      <c r="N131" s="695">
        <f t="shared" si="61"/>
        <v>-4302.2789999999995</v>
      </c>
      <c r="O131" s="695">
        <v>-1718</v>
      </c>
      <c r="P131" s="695">
        <f t="shared" si="61"/>
        <v>-4669</v>
      </c>
      <c r="Q131" s="695">
        <f t="shared" si="61"/>
        <v>-1589</v>
      </c>
      <c r="R131" s="695">
        <f t="shared" si="61"/>
        <v>-1729</v>
      </c>
    </row>
    <row r="132" spans="3:19" x14ac:dyDescent="0.2">
      <c r="G132" s="694" t="s">
        <v>335</v>
      </c>
      <c r="H132" s="695">
        <f t="shared" ref="H132:R132" si="62">H41</f>
        <v>-2718.6990000000001</v>
      </c>
      <c r="I132" s="695">
        <f t="shared" si="62"/>
        <v>-1320.6</v>
      </c>
      <c r="J132" s="695">
        <f t="shared" si="62"/>
        <v>-1623.69</v>
      </c>
      <c r="K132" s="695">
        <f t="shared" si="62"/>
        <v>-4004.4919999999997</v>
      </c>
      <c r="L132" s="695">
        <f t="shared" si="62"/>
        <v>-1589.0409999999999</v>
      </c>
      <c r="M132" s="695">
        <f t="shared" si="62"/>
        <v>-1688.597</v>
      </c>
      <c r="N132" s="695">
        <f t="shared" si="62"/>
        <v>-4302.2789999999995</v>
      </c>
      <c r="O132" s="695">
        <v>-1718</v>
      </c>
      <c r="P132" s="695">
        <f t="shared" si="62"/>
        <v>-4669</v>
      </c>
      <c r="Q132" s="695">
        <f t="shared" si="62"/>
        <v>-1589</v>
      </c>
      <c r="R132" s="695">
        <f t="shared" si="62"/>
        <v>-1729</v>
      </c>
    </row>
    <row r="133" spans="3:19" x14ac:dyDescent="0.2">
      <c r="G133" s="694" t="s">
        <v>336</v>
      </c>
      <c r="H133" s="695">
        <f t="shared" ref="H133:R133" si="63">H38</f>
        <v>-163.34200000000001</v>
      </c>
      <c r="I133" s="695">
        <f t="shared" si="63"/>
        <v>0</v>
      </c>
      <c r="J133" s="695">
        <f t="shared" si="63"/>
        <v>0</v>
      </c>
      <c r="K133" s="695">
        <f t="shared" si="63"/>
        <v>-178.35</v>
      </c>
      <c r="L133" s="695">
        <f t="shared" si="63"/>
        <v>0</v>
      </c>
      <c r="M133" s="695">
        <f t="shared" si="63"/>
        <v>0</v>
      </c>
      <c r="N133" s="695">
        <f t="shared" si="63"/>
        <v>0</v>
      </c>
      <c r="O133" s="695">
        <f t="shared" si="63"/>
        <v>0</v>
      </c>
      <c r="P133" s="695">
        <f t="shared" si="63"/>
        <v>0</v>
      </c>
      <c r="Q133" s="695">
        <f t="shared" si="63"/>
        <v>0</v>
      </c>
      <c r="R133" s="695">
        <f t="shared" si="63"/>
        <v>0</v>
      </c>
    </row>
    <row r="134" spans="3:19" x14ac:dyDescent="0.2">
      <c r="G134" s="694" t="s">
        <v>337</v>
      </c>
      <c r="H134" s="695">
        <f t="shared" ref="H134:R134" si="64">H46</f>
        <v>-18.739000000000487</v>
      </c>
      <c r="I134" s="695">
        <f t="shared" si="64"/>
        <v>145.5920000000001</v>
      </c>
      <c r="J134" s="695">
        <f t="shared" si="64"/>
        <v>96.627999999999929</v>
      </c>
      <c r="K134" s="695">
        <f t="shared" si="64"/>
        <v>199.45900000000029</v>
      </c>
      <c r="L134" s="695">
        <f t="shared" si="64"/>
        <v>-109.01299999999992</v>
      </c>
      <c r="M134" s="695">
        <f t="shared" si="64"/>
        <v>-27.038999999999987</v>
      </c>
      <c r="N134" s="695">
        <f t="shared" si="64"/>
        <v>-1099.9999999999995</v>
      </c>
      <c r="O134" s="695">
        <f t="shared" si="64"/>
        <v>0</v>
      </c>
      <c r="P134" s="695">
        <f t="shared" si="64"/>
        <v>0</v>
      </c>
      <c r="Q134" s="695">
        <f t="shared" si="64"/>
        <v>0</v>
      </c>
      <c r="R134" s="695">
        <f t="shared" si="64"/>
        <v>0</v>
      </c>
    </row>
    <row r="135" spans="3:19" x14ac:dyDescent="0.2">
      <c r="G135" s="694" t="s">
        <v>338</v>
      </c>
      <c r="H135" s="695">
        <f t="shared" ref="H135:R135" si="65">H51</f>
        <v>-14.629000000000488</v>
      </c>
      <c r="I135" s="695">
        <f t="shared" si="65"/>
        <v>146.87600000000009</v>
      </c>
      <c r="J135" s="695">
        <f t="shared" si="65"/>
        <v>96.627999999999929</v>
      </c>
      <c r="K135" s="695">
        <f t="shared" si="65"/>
        <v>199.45400000000029</v>
      </c>
      <c r="L135" s="695">
        <f t="shared" si="65"/>
        <v>-106.33499999999992</v>
      </c>
      <c r="M135" s="695">
        <f t="shared" si="65"/>
        <v>-27</v>
      </c>
      <c r="N135" s="695">
        <f t="shared" si="65"/>
        <v>-1099.9999999999995</v>
      </c>
      <c r="O135" s="695">
        <f t="shared" si="65"/>
        <v>0</v>
      </c>
      <c r="P135" s="695">
        <f t="shared" si="65"/>
        <v>0</v>
      </c>
      <c r="Q135" s="695">
        <f t="shared" si="65"/>
        <v>0</v>
      </c>
      <c r="R135" s="695">
        <f t="shared" si="65"/>
        <v>0</v>
      </c>
    </row>
    <row r="136" spans="3:19" x14ac:dyDescent="0.2">
      <c r="G136" s="694" t="s">
        <v>339</v>
      </c>
      <c r="H136" s="695">
        <f t="shared" ref="H136:R137" si="66">H4</f>
        <v>841.47900000000004</v>
      </c>
      <c r="I136" s="695">
        <f t="shared" si="66"/>
        <v>1003.076</v>
      </c>
      <c r="J136" s="695">
        <f t="shared" si="66"/>
        <v>1104.001</v>
      </c>
      <c r="K136" s="695">
        <f t="shared" si="66"/>
        <v>1278.9359999999999</v>
      </c>
      <c r="L136" s="695">
        <f t="shared" si="66"/>
        <v>1195.4939999999999</v>
      </c>
      <c r="M136" s="695">
        <f t="shared" si="66"/>
        <v>1137.867</v>
      </c>
      <c r="N136" s="695">
        <f t="shared" si="66"/>
        <v>38</v>
      </c>
      <c r="O136" s="695">
        <f t="shared" si="66"/>
        <v>38</v>
      </c>
      <c r="P136" s="695">
        <f t="shared" si="66"/>
        <v>38</v>
      </c>
      <c r="Q136" s="695">
        <f t="shared" si="66"/>
        <v>38</v>
      </c>
      <c r="R136" s="695">
        <f t="shared" si="66"/>
        <v>38</v>
      </c>
    </row>
    <row r="137" spans="3:19" x14ac:dyDescent="0.2">
      <c r="G137" s="694" t="s">
        <v>340</v>
      </c>
      <c r="H137" s="695">
        <f t="shared" si="66"/>
        <v>830.30900000000008</v>
      </c>
      <c r="I137" s="695">
        <f t="shared" si="66"/>
        <v>1002.33</v>
      </c>
      <c r="J137" s="695">
        <f t="shared" si="66"/>
        <v>1104.001</v>
      </c>
      <c r="K137" s="695">
        <f t="shared" si="66"/>
        <v>1278.9359999999999</v>
      </c>
      <c r="L137" s="695">
        <f t="shared" si="66"/>
        <v>1195.4939999999999</v>
      </c>
      <c r="M137" s="695">
        <f t="shared" si="66"/>
        <v>1137.867</v>
      </c>
      <c r="N137" s="695">
        <f t="shared" si="66"/>
        <v>38</v>
      </c>
      <c r="O137" s="695">
        <f t="shared" si="66"/>
        <v>38</v>
      </c>
      <c r="P137" s="695">
        <f t="shared" si="66"/>
        <v>38</v>
      </c>
      <c r="Q137" s="695">
        <f t="shared" si="66"/>
        <v>38</v>
      </c>
      <c r="R137" s="695">
        <f t="shared" si="66"/>
        <v>38</v>
      </c>
    </row>
    <row r="138" spans="3:19" x14ac:dyDescent="0.2">
      <c r="G138" s="694" t="s">
        <v>341</v>
      </c>
      <c r="H138" s="695">
        <f t="shared" ref="H138:R138" si="67">H10</f>
        <v>11.17</v>
      </c>
      <c r="I138" s="695">
        <f t="shared" si="67"/>
        <v>0.746</v>
      </c>
      <c r="J138" s="695">
        <f t="shared" si="67"/>
        <v>0</v>
      </c>
      <c r="K138" s="695">
        <f t="shared" si="67"/>
        <v>0</v>
      </c>
      <c r="L138" s="695">
        <f t="shared" si="67"/>
        <v>0</v>
      </c>
      <c r="M138" s="695">
        <f t="shared" si="67"/>
        <v>0</v>
      </c>
      <c r="N138" s="695">
        <f t="shared" si="67"/>
        <v>0</v>
      </c>
      <c r="O138" s="695">
        <f t="shared" si="67"/>
        <v>0</v>
      </c>
      <c r="P138" s="695">
        <f t="shared" si="67"/>
        <v>0</v>
      </c>
      <c r="Q138" s="695">
        <f t="shared" si="67"/>
        <v>0</v>
      </c>
      <c r="R138" s="695">
        <f t="shared" si="67"/>
        <v>0</v>
      </c>
    </row>
    <row r="139" spans="3:19" x14ac:dyDescent="0.2">
      <c r="G139" s="694" t="s">
        <v>342</v>
      </c>
      <c r="H139" s="695">
        <f t="shared" ref="H139:R140" si="68">H19</f>
        <v>43.356999999999999</v>
      </c>
      <c r="I139" s="695">
        <f t="shared" si="68"/>
        <v>58.079000000000001</v>
      </c>
      <c r="J139" s="695">
        <f t="shared" si="68"/>
        <v>62.375999999999998</v>
      </c>
      <c r="K139" s="695">
        <f t="shared" si="68"/>
        <v>37.851999999999997</v>
      </c>
      <c r="L139" s="695">
        <f t="shared" si="68"/>
        <v>60.747999999999998</v>
      </c>
      <c r="M139" s="695">
        <f t="shared" si="68"/>
        <v>29.742999999999999</v>
      </c>
      <c r="N139" s="695">
        <f t="shared" si="68"/>
        <v>30</v>
      </c>
      <c r="O139" s="695">
        <f t="shared" si="68"/>
        <v>30</v>
      </c>
      <c r="P139" s="695">
        <f t="shared" si="68"/>
        <v>30</v>
      </c>
      <c r="Q139" s="695">
        <f t="shared" si="68"/>
        <v>30</v>
      </c>
      <c r="R139" s="695">
        <f t="shared" si="68"/>
        <v>30</v>
      </c>
    </row>
    <row r="140" spans="3:19" x14ac:dyDescent="0.2">
      <c r="G140" s="694" t="s">
        <v>343</v>
      </c>
      <c r="H140" s="695">
        <f t="shared" si="68"/>
        <v>43.356999999999999</v>
      </c>
      <c r="I140" s="695">
        <f t="shared" si="68"/>
        <v>58.079000000000001</v>
      </c>
      <c r="J140" s="695">
        <f t="shared" si="68"/>
        <v>62.375999999999998</v>
      </c>
      <c r="K140" s="695">
        <f t="shared" si="68"/>
        <v>37.851999999999997</v>
      </c>
      <c r="L140" s="695">
        <f t="shared" si="68"/>
        <v>60.747999999999998</v>
      </c>
      <c r="M140" s="695">
        <f t="shared" si="68"/>
        <v>29.742999999999999</v>
      </c>
      <c r="N140" s="695">
        <f t="shared" si="68"/>
        <v>30</v>
      </c>
      <c r="O140" s="695">
        <f t="shared" si="68"/>
        <v>30</v>
      </c>
      <c r="P140" s="695">
        <f t="shared" si="68"/>
        <v>30</v>
      </c>
      <c r="Q140" s="695">
        <f t="shared" si="68"/>
        <v>30</v>
      </c>
      <c r="R140" s="695">
        <f t="shared" si="68"/>
        <v>30</v>
      </c>
    </row>
    <row r="141" spans="3:19" x14ac:dyDescent="0.2">
      <c r="G141" s="694" t="s">
        <v>344</v>
      </c>
      <c r="H141" s="695">
        <f t="shared" ref="H141:R141" si="69">H24</f>
        <v>0</v>
      </c>
      <c r="I141" s="695">
        <f t="shared" si="69"/>
        <v>0</v>
      </c>
      <c r="J141" s="695">
        <f t="shared" si="69"/>
        <v>0</v>
      </c>
      <c r="K141" s="695">
        <f t="shared" si="69"/>
        <v>0</v>
      </c>
      <c r="L141" s="695">
        <f t="shared" si="69"/>
        <v>0</v>
      </c>
      <c r="M141" s="695">
        <f t="shared" si="69"/>
        <v>0</v>
      </c>
      <c r="N141" s="695">
        <f t="shared" si="69"/>
        <v>0</v>
      </c>
      <c r="O141" s="695">
        <f t="shared" si="69"/>
        <v>0</v>
      </c>
      <c r="P141" s="695">
        <f t="shared" si="69"/>
        <v>0</v>
      </c>
      <c r="Q141" s="695">
        <f t="shared" si="69"/>
        <v>0</v>
      </c>
      <c r="R141" s="695">
        <f t="shared" si="69"/>
        <v>0</v>
      </c>
    </row>
    <row r="142" spans="3:19" x14ac:dyDescent="0.2">
      <c r="G142" s="694" t="s">
        <v>345</v>
      </c>
      <c r="H142" s="695">
        <f t="shared" ref="H142:R142" si="70">H27</f>
        <v>798.12199999999996</v>
      </c>
      <c r="I142" s="695">
        <f t="shared" si="70"/>
        <v>944.99799999999993</v>
      </c>
      <c r="J142" s="695">
        <f t="shared" si="70"/>
        <v>1041.625</v>
      </c>
      <c r="K142" s="695">
        <f t="shared" si="70"/>
        <v>1241.085</v>
      </c>
      <c r="L142" s="695">
        <f t="shared" si="70"/>
        <v>1134.7460000000001</v>
      </c>
      <c r="M142" s="695">
        <f t="shared" si="70"/>
        <v>1108.125</v>
      </c>
      <c r="N142" s="695">
        <f t="shared" si="70"/>
        <v>8</v>
      </c>
      <c r="O142" s="695">
        <f t="shared" si="70"/>
        <v>8</v>
      </c>
      <c r="P142" s="695">
        <f t="shared" si="70"/>
        <v>8</v>
      </c>
      <c r="Q142" s="695">
        <f t="shared" si="70"/>
        <v>8</v>
      </c>
      <c r="R142" s="695">
        <f t="shared" si="70"/>
        <v>8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710" priority="51" stopIfTrue="1" operator="greaterThan">
      <formula>$E$116</formula>
    </cfRule>
    <cfRule type="cellIs" dxfId="1709" priority="52" stopIfTrue="1" operator="lessThanOrEqual">
      <formula>$E$116</formula>
    </cfRule>
  </conditionalFormatting>
  <conditionalFormatting sqref="H118:Q118">
    <cfRule type="cellIs" dxfId="1708" priority="49" stopIfTrue="1" operator="lessThanOrEqual">
      <formula>$E$118</formula>
    </cfRule>
    <cfRule type="cellIs" dxfId="1707" priority="50" stopIfTrue="1" operator="greaterThan">
      <formula>$E$118</formula>
    </cfRule>
  </conditionalFormatting>
  <conditionalFormatting sqref="H99:Q99">
    <cfRule type="cellIs" dxfId="1706" priority="47" operator="greaterThan">
      <formula>$E$99</formula>
    </cfRule>
    <cfRule type="cellIs" dxfId="1705" priority="48" operator="lessThanOrEqual">
      <formula>$E$99</formula>
    </cfRule>
  </conditionalFormatting>
  <conditionalFormatting sqref="H102:Q102">
    <cfRule type="cellIs" dxfId="1704" priority="45" stopIfTrue="1" operator="greaterThanOrEqual">
      <formula>$E$102</formula>
    </cfRule>
    <cfRule type="cellIs" dxfId="1703" priority="46" stopIfTrue="1" operator="lessThan">
      <formula>$E$102</formula>
    </cfRule>
  </conditionalFormatting>
  <conditionalFormatting sqref="H104:Q104">
    <cfRule type="cellIs" dxfId="1702" priority="43" stopIfTrue="1" operator="lessThan">
      <formula>$E$104</formula>
    </cfRule>
    <cfRule type="cellIs" dxfId="1701" priority="44" stopIfTrue="1" operator="greaterThanOrEqual">
      <formula>$E$104</formula>
    </cfRule>
  </conditionalFormatting>
  <conditionalFormatting sqref="H103:Q103">
    <cfRule type="cellIs" dxfId="1700" priority="41" stopIfTrue="1" operator="greaterThan">
      <formula>$E$103</formula>
    </cfRule>
    <cfRule type="cellIs" dxfId="1699" priority="42" stopIfTrue="1" operator="lessThanOrEqual">
      <formula>$E$103</formula>
    </cfRule>
  </conditionalFormatting>
  <conditionalFormatting sqref="H100:Q100">
    <cfRule type="cellIs" dxfId="1698" priority="30" stopIfTrue="1" operator="between">
      <formula>$D$100</formula>
      <formula>$E$100</formula>
    </cfRule>
    <cfRule type="cellIs" dxfId="1697" priority="39" stopIfTrue="1" operator="lessThanOrEqual">
      <formula>$D$100</formula>
    </cfRule>
    <cfRule type="cellIs" dxfId="1696" priority="40" stopIfTrue="1" operator="greaterThan">
      <formula>$E$100</formula>
    </cfRule>
  </conditionalFormatting>
  <conditionalFormatting sqref="H117:Q117">
    <cfRule type="cellIs" dxfId="1695" priority="37" stopIfTrue="1" operator="greaterThan">
      <formula>$E$117</formula>
    </cfRule>
    <cfRule type="cellIs" dxfId="1694" priority="38" stopIfTrue="1" operator="lessThanOrEqual">
      <formula>$E$117</formula>
    </cfRule>
  </conditionalFormatting>
  <conditionalFormatting sqref="H107:Q107">
    <cfRule type="cellIs" dxfId="1693" priority="35" stopIfTrue="1" operator="greaterThan">
      <formula>$E$107</formula>
    </cfRule>
    <cfRule type="cellIs" dxfId="1692" priority="36" stopIfTrue="1" operator="lessThanOrEqual">
      <formula>$E$107</formula>
    </cfRule>
  </conditionalFormatting>
  <conditionalFormatting sqref="H108:Q108">
    <cfRule type="cellIs" dxfId="1691" priority="33" stopIfTrue="1" operator="lessThan">
      <formula>$E$108</formula>
    </cfRule>
    <cfRule type="cellIs" dxfId="1690" priority="34" stopIfTrue="1" operator="greaterThanOrEqual">
      <formula>$E$108</formula>
    </cfRule>
  </conditionalFormatting>
  <conditionalFormatting sqref="H93:Q93">
    <cfRule type="cellIs" dxfId="1689" priority="53" stopIfTrue="1" operator="lessThan">
      <formula>$D$93</formula>
    </cfRule>
    <cfRule type="cellIs" dxfId="1688" priority="54" stopIfTrue="1" operator="between">
      <formula>$D$93</formula>
      <formula>$E$93</formula>
    </cfRule>
    <cfRule type="cellIs" dxfId="1687" priority="55" stopIfTrue="1" operator="greaterThan">
      <formula>$E$93</formula>
    </cfRule>
  </conditionalFormatting>
  <conditionalFormatting sqref="H114:Q114">
    <cfRule type="cellIs" dxfId="1686" priority="56" stopIfTrue="1" operator="lessThan">
      <formula>$E$114</formula>
    </cfRule>
    <cfRule type="cellIs" dxfId="1685" priority="57" stopIfTrue="1" operator="between">
      <formula>$D$114</formula>
      <formula>$E$114</formula>
    </cfRule>
    <cfRule type="cellIs" dxfId="1684" priority="58" stopIfTrue="1" operator="greaterThanOrEqual">
      <formula>$D$114</formula>
    </cfRule>
  </conditionalFormatting>
  <conditionalFormatting sqref="H90:Q90">
    <cfRule type="cellIs" dxfId="1683" priority="31" stopIfTrue="1" operator="lessThan">
      <formula>$E$90</formula>
    </cfRule>
    <cfRule type="cellIs" dxfId="1682" priority="32" stopIfTrue="1" operator="greaterThan">
      <formula>$E$90</formula>
    </cfRule>
  </conditionalFormatting>
  <conditionalFormatting sqref="R116">
    <cfRule type="cellIs" dxfId="1681" priority="22" stopIfTrue="1" operator="greaterThan">
      <formula>$E$116</formula>
    </cfRule>
    <cfRule type="cellIs" dxfId="1680" priority="23" stopIfTrue="1" operator="lessThanOrEqual">
      <formula>$E$116</formula>
    </cfRule>
  </conditionalFormatting>
  <conditionalFormatting sqref="R118">
    <cfRule type="cellIs" dxfId="1679" priority="20" stopIfTrue="1" operator="lessThanOrEqual">
      <formula>$E$118</formula>
    </cfRule>
    <cfRule type="cellIs" dxfId="1678" priority="21" stopIfTrue="1" operator="greaterThan">
      <formula>$E$118</formula>
    </cfRule>
  </conditionalFormatting>
  <conditionalFormatting sqref="R99">
    <cfRule type="cellIs" dxfId="1677" priority="18" operator="greaterThan">
      <formula>$E$99</formula>
    </cfRule>
    <cfRule type="cellIs" dxfId="1676" priority="19" operator="lessThanOrEqual">
      <formula>$E$99</formula>
    </cfRule>
  </conditionalFormatting>
  <conditionalFormatting sqref="R102">
    <cfRule type="cellIs" dxfId="1675" priority="16" stopIfTrue="1" operator="greaterThanOrEqual">
      <formula>$E$102</formula>
    </cfRule>
    <cfRule type="cellIs" dxfId="1674" priority="17" stopIfTrue="1" operator="lessThan">
      <formula>$E$102</formula>
    </cfRule>
  </conditionalFormatting>
  <conditionalFormatting sqref="R104">
    <cfRule type="cellIs" dxfId="1673" priority="14" stopIfTrue="1" operator="lessThan">
      <formula>$E$104</formula>
    </cfRule>
    <cfRule type="cellIs" dxfId="1672" priority="15" stopIfTrue="1" operator="greaterThanOrEqual">
      <formula>$E$104</formula>
    </cfRule>
  </conditionalFormatting>
  <conditionalFormatting sqref="R103">
    <cfRule type="cellIs" dxfId="1671" priority="12" stopIfTrue="1" operator="greaterThan">
      <formula>$E$103</formula>
    </cfRule>
    <cfRule type="cellIs" dxfId="1670" priority="13" stopIfTrue="1" operator="lessThanOrEqual">
      <formula>$E$103</formula>
    </cfRule>
  </conditionalFormatting>
  <conditionalFormatting sqref="R100">
    <cfRule type="cellIs" dxfId="1669" priority="1" stopIfTrue="1" operator="between">
      <formula>$D$100</formula>
      <formula>$E$100</formula>
    </cfRule>
    <cfRule type="cellIs" dxfId="1668" priority="10" stopIfTrue="1" operator="lessThanOrEqual">
      <formula>$D$100</formula>
    </cfRule>
    <cfRule type="cellIs" dxfId="1667" priority="11" stopIfTrue="1" operator="greaterThan">
      <formula>$E$100</formula>
    </cfRule>
  </conditionalFormatting>
  <conditionalFormatting sqref="R117">
    <cfRule type="cellIs" dxfId="1666" priority="8" stopIfTrue="1" operator="greaterThan">
      <formula>$E$117</formula>
    </cfRule>
    <cfRule type="cellIs" dxfId="1665" priority="9" stopIfTrue="1" operator="lessThanOrEqual">
      <formula>$E$117</formula>
    </cfRule>
  </conditionalFormatting>
  <conditionalFormatting sqref="R107">
    <cfRule type="cellIs" dxfId="1664" priority="6" stopIfTrue="1" operator="greaterThan">
      <formula>$E$107</formula>
    </cfRule>
    <cfRule type="cellIs" dxfId="1663" priority="7" stopIfTrue="1" operator="lessThanOrEqual">
      <formula>$E$107</formula>
    </cfRule>
  </conditionalFormatting>
  <conditionalFormatting sqref="R108">
    <cfRule type="cellIs" dxfId="1662" priority="4" stopIfTrue="1" operator="lessThan">
      <formula>$E$108</formula>
    </cfRule>
    <cfRule type="cellIs" dxfId="1661" priority="5" stopIfTrue="1" operator="greaterThanOrEqual">
      <formula>$E$108</formula>
    </cfRule>
  </conditionalFormatting>
  <conditionalFormatting sqref="R93">
    <cfRule type="cellIs" dxfId="1660" priority="24" stopIfTrue="1" operator="lessThan">
      <formula>$D$93</formula>
    </cfRule>
    <cfRule type="cellIs" dxfId="1659" priority="25" stopIfTrue="1" operator="between">
      <formula>$D$93</formula>
      <formula>$E$93</formula>
    </cfRule>
    <cfRule type="cellIs" dxfId="1658" priority="26" stopIfTrue="1" operator="greaterThan">
      <formula>$E$93</formula>
    </cfRule>
  </conditionalFormatting>
  <conditionalFormatting sqref="R114">
    <cfRule type="cellIs" dxfId="1657" priority="27" stopIfTrue="1" operator="lessThan">
      <formula>$E$114</formula>
    </cfRule>
    <cfRule type="cellIs" dxfId="1656" priority="28" stopIfTrue="1" operator="between">
      <formula>$D$114</formula>
      <formula>$E$114</formula>
    </cfRule>
    <cfRule type="cellIs" dxfId="1655" priority="29" stopIfTrue="1" operator="greaterThanOrEqual">
      <formula>$D$114</formula>
    </cfRule>
  </conditionalFormatting>
  <conditionalFormatting sqref="R90">
    <cfRule type="cellIs" dxfId="1654" priority="2" stopIfTrue="1" operator="lessThan">
      <formula>$E$90</formula>
    </cfRule>
    <cfRule type="cellIs" dxfId="1653" priority="3" stopIfTrue="1" operator="greaterThan">
      <formula>$E$90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18.5703125" style="48" customWidth="1"/>
    <col min="8" max="11" width="8.7109375" style="991" customWidth="1"/>
    <col min="12" max="18" width="8.7109375" style="991" bestFit="1" customWidth="1"/>
    <col min="19" max="256" width="9.140625" style="991"/>
    <col min="257" max="257" width="5.7109375" style="991" bestFit="1" customWidth="1"/>
    <col min="258" max="258" width="5" style="991" bestFit="1" customWidth="1"/>
    <col min="259" max="259" width="21" style="991" bestFit="1" customWidth="1"/>
    <col min="260" max="260" width="7.28515625" style="991" customWidth="1"/>
    <col min="261" max="261" width="5.140625" style="991" bestFit="1" customWidth="1"/>
    <col min="262" max="262" width="2.140625" style="991" customWidth="1"/>
    <col min="263" max="263" width="18.5703125" style="991" customWidth="1"/>
    <col min="264" max="267" width="8.7109375" style="991" customWidth="1"/>
    <col min="268" max="274" width="8.7109375" style="991" bestFit="1" customWidth="1"/>
    <col min="275" max="512" width="9.140625" style="991"/>
    <col min="513" max="513" width="5.7109375" style="991" bestFit="1" customWidth="1"/>
    <col min="514" max="514" width="5" style="991" bestFit="1" customWidth="1"/>
    <col min="515" max="515" width="21" style="991" bestFit="1" customWidth="1"/>
    <col min="516" max="516" width="7.28515625" style="991" customWidth="1"/>
    <col min="517" max="517" width="5.140625" style="991" bestFit="1" customWidth="1"/>
    <col min="518" max="518" width="2.140625" style="991" customWidth="1"/>
    <col min="519" max="519" width="18.5703125" style="991" customWidth="1"/>
    <col min="520" max="523" width="8.7109375" style="991" customWidth="1"/>
    <col min="524" max="530" width="8.7109375" style="991" bestFit="1" customWidth="1"/>
    <col min="531" max="768" width="9.140625" style="991"/>
    <col min="769" max="769" width="5.7109375" style="991" bestFit="1" customWidth="1"/>
    <col min="770" max="770" width="5" style="991" bestFit="1" customWidth="1"/>
    <col min="771" max="771" width="21" style="991" bestFit="1" customWidth="1"/>
    <col min="772" max="772" width="7.28515625" style="991" customWidth="1"/>
    <col min="773" max="773" width="5.140625" style="991" bestFit="1" customWidth="1"/>
    <col min="774" max="774" width="2.140625" style="991" customWidth="1"/>
    <col min="775" max="775" width="18.5703125" style="991" customWidth="1"/>
    <col min="776" max="779" width="8.7109375" style="991" customWidth="1"/>
    <col min="780" max="786" width="8.7109375" style="991" bestFit="1" customWidth="1"/>
    <col min="787" max="1024" width="9.140625" style="991"/>
    <col min="1025" max="1025" width="5.7109375" style="991" bestFit="1" customWidth="1"/>
    <col min="1026" max="1026" width="5" style="991" bestFit="1" customWidth="1"/>
    <col min="1027" max="1027" width="21" style="991" bestFit="1" customWidth="1"/>
    <col min="1028" max="1028" width="7.28515625" style="991" customWidth="1"/>
    <col min="1029" max="1029" width="5.140625" style="991" bestFit="1" customWidth="1"/>
    <col min="1030" max="1030" width="2.140625" style="991" customWidth="1"/>
    <col min="1031" max="1031" width="18.5703125" style="991" customWidth="1"/>
    <col min="1032" max="1035" width="8.7109375" style="991" customWidth="1"/>
    <col min="1036" max="1042" width="8.7109375" style="991" bestFit="1" customWidth="1"/>
    <col min="1043" max="1280" width="9.140625" style="991"/>
    <col min="1281" max="1281" width="5.7109375" style="991" bestFit="1" customWidth="1"/>
    <col min="1282" max="1282" width="5" style="991" bestFit="1" customWidth="1"/>
    <col min="1283" max="1283" width="21" style="991" bestFit="1" customWidth="1"/>
    <col min="1284" max="1284" width="7.28515625" style="991" customWidth="1"/>
    <col min="1285" max="1285" width="5.140625" style="991" bestFit="1" customWidth="1"/>
    <col min="1286" max="1286" width="2.140625" style="991" customWidth="1"/>
    <col min="1287" max="1287" width="18.5703125" style="991" customWidth="1"/>
    <col min="1288" max="1291" width="8.7109375" style="991" customWidth="1"/>
    <col min="1292" max="1298" width="8.7109375" style="991" bestFit="1" customWidth="1"/>
    <col min="1299" max="1536" width="9.140625" style="991"/>
    <col min="1537" max="1537" width="5.7109375" style="991" bestFit="1" customWidth="1"/>
    <col min="1538" max="1538" width="5" style="991" bestFit="1" customWidth="1"/>
    <col min="1539" max="1539" width="21" style="991" bestFit="1" customWidth="1"/>
    <col min="1540" max="1540" width="7.28515625" style="991" customWidth="1"/>
    <col min="1541" max="1541" width="5.140625" style="991" bestFit="1" customWidth="1"/>
    <col min="1542" max="1542" width="2.140625" style="991" customWidth="1"/>
    <col min="1543" max="1543" width="18.5703125" style="991" customWidth="1"/>
    <col min="1544" max="1547" width="8.7109375" style="991" customWidth="1"/>
    <col min="1548" max="1554" width="8.7109375" style="991" bestFit="1" customWidth="1"/>
    <col min="1555" max="1792" width="9.140625" style="991"/>
    <col min="1793" max="1793" width="5.7109375" style="991" bestFit="1" customWidth="1"/>
    <col min="1794" max="1794" width="5" style="991" bestFit="1" customWidth="1"/>
    <col min="1795" max="1795" width="21" style="991" bestFit="1" customWidth="1"/>
    <col min="1796" max="1796" width="7.28515625" style="991" customWidth="1"/>
    <col min="1797" max="1797" width="5.140625" style="991" bestFit="1" customWidth="1"/>
    <col min="1798" max="1798" width="2.140625" style="991" customWidth="1"/>
    <col min="1799" max="1799" width="18.5703125" style="991" customWidth="1"/>
    <col min="1800" max="1803" width="8.7109375" style="991" customWidth="1"/>
    <col min="1804" max="1810" width="8.7109375" style="991" bestFit="1" customWidth="1"/>
    <col min="1811" max="2048" width="9.140625" style="991"/>
    <col min="2049" max="2049" width="5.7109375" style="991" bestFit="1" customWidth="1"/>
    <col min="2050" max="2050" width="5" style="991" bestFit="1" customWidth="1"/>
    <col min="2051" max="2051" width="21" style="991" bestFit="1" customWidth="1"/>
    <col min="2052" max="2052" width="7.28515625" style="991" customWidth="1"/>
    <col min="2053" max="2053" width="5.140625" style="991" bestFit="1" customWidth="1"/>
    <col min="2054" max="2054" width="2.140625" style="991" customWidth="1"/>
    <col min="2055" max="2055" width="18.5703125" style="991" customWidth="1"/>
    <col min="2056" max="2059" width="8.7109375" style="991" customWidth="1"/>
    <col min="2060" max="2066" width="8.7109375" style="991" bestFit="1" customWidth="1"/>
    <col min="2067" max="2304" width="9.140625" style="991"/>
    <col min="2305" max="2305" width="5.7109375" style="991" bestFit="1" customWidth="1"/>
    <col min="2306" max="2306" width="5" style="991" bestFit="1" customWidth="1"/>
    <col min="2307" max="2307" width="21" style="991" bestFit="1" customWidth="1"/>
    <col min="2308" max="2308" width="7.28515625" style="991" customWidth="1"/>
    <col min="2309" max="2309" width="5.140625" style="991" bestFit="1" customWidth="1"/>
    <col min="2310" max="2310" width="2.140625" style="991" customWidth="1"/>
    <col min="2311" max="2311" width="18.5703125" style="991" customWidth="1"/>
    <col min="2312" max="2315" width="8.7109375" style="991" customWidth="1"/>
    <col min="2316" max="2322" width="8.7109375" style="991" bestFit="1" customWidth="1"/>
    <col min="2323" max="2560" width="9.140625" style="991"/>
    <col min="2561" max="2561" width="5.7109375" style="991" bestFit="1" customWidth="1"/>
    <col min="2562" max="2562" width="5" style="991" bestFit="1" customWidth="1"/>
    <col min="2563" max="2563" width="21" style="991" bestFit="1" customWidth="1"/>
    <col min="2564" max="2564" width="7.28515625" style="991" customWidth="1"/>
    <col min="2565" max="2565" width="5.140625" style="991" bestFit="1" customWidth="1"/>
    <col min="2566" max="2566" width="2.140625" style="991" customWidth="1"/>
    <col min="2567" max="2567" width="18.5703125" style="991" customWidth="1"/>
    <col min="2568" max="2571" width="8.7109375" style="991" customWidth="1"/>
    <col min="2572" max="2578" width="8.7109375" style="991" bestFit="1" customWidth="1"/>
    <col min="2579" max="2816" width="9.140625" style="991"/>
    <col min="2817" max="2817" width="5.7109375" style="991" bestFit="1" customWidth="1"/>
    <col min="2818" max="2818" width="5" style="991" bestFit="1" customWidth="1"/>
    <col min="2819" max="2819" width="21" style="991" bestFit="1" customWidth="1"/>
    <col min="2820" max="2820" width="7.28515625" style="991" customWidth="1"/>
    <col min="2821" max="2821" width="5.140625" style="991" bestFit="1" customWidth="1"/>
    <col min="2822" max="2822" width="2.140625" style="991" customWidth="1"/>
    <col min="2823" max="2823" width="18.5703125" style="991" customWidth="1"/>
    <col min="2824" max="2827" width="8.7109375" style="991" customWidth="1"/>
    <col min="2828" max="2834" width="8.7109375" style="991" bestFit="1" customWidth="1"/>
    <col min="2835" max="3072" width="9.140625" style="991"/>
    <col min="3073" max="3073" width="5.7109375" style="991" bestFit="1" customWidth="1"/>
    <col min="3074" max="3074" width="5" style="991" bestFit="1" customWidth="1"/>
    <col min="3075" max="3075" width="21" style="991" bestFit="1" customWidth="1"/>
    <col min="3076" max="3076" width="7.28515625" style="991" customWidth="1"/>
    <col min="3077" max="3077" width="5.140625" style="991" bestFit="1" customWidth="1"/>
    <col min="3078" max="3078" width="2.140625" style="991" customWidth="1"/>
    <col min="3079" max="3079" width="18.5703125" style="991" customWidth="1"/>
    <col min="3080" max="3083" width="8.7109375" style="991" customWidth="1"/>
    <col min="3084" max="3090" width="8.7109375" style="991" bestFit="1" customWidth="1"/>
    <col min="3091" max="3328" width="9.140625" style="991"/>
    <col min="3329" max="3329" width="5.7109375" style="991" bestFit="1" customWidth="1"/>
    <col min="3330" max="3330" width="5" style="991" bestFit="1" customWidth="1"/>
    <col min="3331" max="3331" width="21" style="991" bestFit="1" customWidth="1"/>
    <col min="3332" max="3332" width="7.28515625" style="991" customWidth="1"/>
    <col min="3333" max="3333" width="5.140625" style="991" bestFit="1" customWidth="1"/>
    <col min="3334" max="3334" width="2.140625" style="991" customWidth="1"/>
    <col min="3335" max="3335" width="18.5703125" style="991" customWidth="1"/>
    <col min="3336" max="3339" width="8.7109375" style="991" customWidth="1"/>
    <col min="3340" max="3346" width="8.7109375" style="991" bestFit="1" customWidth="1"/>
    <col min="3347" max="3584" width="9.140625" style="991"/>
    <col min="3585" max="3585" width="5.7109375" style="991" bestFit="1" customWidth="1"/>
    <col min="3586" max="3586" width="5" style="991" bestFit="1" customWidth="1"/>
    <col min="3587" max="3587" width="21" style="991" bestFit="1" customWidth="1"/>
    <col min="3588" max="3588" width="7.28515625" style="991" customWidth="1"/>
    <col min="3589" max="3589" width="5.140625" style="991" bestFit="1" customWidth="1"/>
    <col min="3590" max="3590" width="2.140625" style="991" customWidth="1"/>
    <col min="3591" max="3591" width="18.5703125" style="991" customWidth="1"/>
    <col min="3592" max="3595" width="8.7109375" style="991" customWidth="1"/>
    <col min="3596" max="3602" width="8.7109375" style="991" bestFit="1" customWidth="1"/>
    <col min="3603" max="3840" width="9.140625" style="991"/>
    <col min="3841" max="3841" width="5.7109375" style="991" bestFit="1" customWidth="1"/>
    <col min="3842" max="3842" width="5" style="991" bestFit="1" customWidth="1"/>
    <col min="3843" max="3843" width="21" style="991" bestFit="1" customWidth="1"/>
    <col min="3844" max="3844" width="7.28515625" style="991" customWidth="1"/>
    <col min="3845" max="3845" width="5.140625" style="991" bestFit="1" customWidth="1"/>
    <col min="3846" max="3846" width="2.140625" style="991" customWidth="1"/>
    <col min="3847" max="3847" width="18.5703125" style="991" customWidth="1"/>
    <col min="3848" max="3851" width="8.7109375" style="991" customWidth="1"/>
    <col min="3852" max="3858" width="8.7109375" style="991" bestFit="1" customWidth="1"/>
    <col min="3859" max="4096" width="9.140625" style="991"/>
    <col min="4097" max="4097" width="5.7109375" style="991" bestFit="1" customWidth="1"/>
    <col min="4098" max="4098" width="5" style="991" bestFit="1" customWidth="1"/>
    <col min="4099" max="4099" width="21" style="991" bestFit="1" customWidth="1"/>
    <col min="4100" max="4100" width="7.28515625" style="991" customWidth="1"/>
    <col min="4101" max="4101" width="5.140625" style="991" bestFit="1" customWidth="1"/>
    <col min="4102" max="4102" width="2.140625" style="991" customWidth="1"/>
    <col min="4103" max="4103" width="18.5703125" style="991" customWidth="1"/>
    <col min="4104" max="4107" width="8.7109375" style="991" customWidth="1"/>
    <col min="4108" max="4114" width="8.7109375" style="991" bestFit="1" customWidth="1"/>
    <col min="4115" max="4352" width="9.140625" style="991"/>
    <col min="4353" max="4353" width="5.7109375" style="991" bestFit="1" customWidth="1"/>
    <col min="4354" max="4354" width="5" style="991" bestFit="1" customWidth="1"/>
    <col min="4355" max="4355" width="21" style="991" bestFit="1" customWidth="1"/>
    <col min="4356" max="4356" width="7.28515625" style="991" customWidth="1"/>
    <col min="4357" max="4357" width="5.140625" style="991" bestFit="1" customWidth="1"/>
    <col min="4358" max="4358" width="2.140625" style="991" customWidth="1"/>
    <col min="4359" max="4359" width="18.5703125" style="991" customWidth="1"/>
    <col min="4360" max="4363" width="8.7109375" style="991" customWidth="1"/>
    <col min="4364" max="4370" width="8.7109375" style="991" bestFit="1" customWidth="1"/>
    <col min="4371" max="4608" width="9.140625" style="991"/>
    <col min="4609" max="4609" width="5.7109375" style="991" bestFit="1" customWidth="1"/>
    <col min="4610" max="4610" width="5" style="991" bestFit="1" customWidth="1"/>
    <col min="4611" max="4611" width="21" style="991" bestFit="1" customWidth="1"/>
    <col min="4612" max="4612" width="7.28515625" style="991" customWidth="1"/>
    <col min="4613" max="4613" width="5.140625" style="991" bestFit="1" customWidth="1"/>
    <col min="4614" max="4614" width="2.140625" style="991" customWidth="1"/>
    <col min="4615" max="4615" width="18.5703125" style="991" customWidth="1"/>
    <col min="4616" max="4619" width="8.7109375" style="991" customWidth="1"/>
    <col min="4620" max="4626" width="8.7109375" style="991" bestFit="1" customWidth="1"/>
    <col min="4627" max="4864" width="9.140625" style="991"/>
    <col min="4865" max="4865" width="5.7109375" style="991" bestFit="1" customWidth="1"/>
    <col min="4866" max="4866" width="5" style="991" bestFit="1" customWidth="1"/>
    <col min="4867" max="4867" width="21" style="991" bestFit="1" customWidth="1"/>
    <col min="4868" max="4868" width="7.28515625" style="991" customWidth="1"/>
    <col min="4869" max="4869" width="5.140625" style="991" bestFit="1" customWidth="1"/>
    <col min="4870" max="4870" width="2.140625" style="991" customWidth="1"/>
    <col min="4871" max="4871" width="18.5703125" style="991" customWidth="1"/>
    <col min="4872" max="4875" width="8.7109375" style="991" customWidth="1"/>
    <col min="4876" max="4882" width="8.7109375" style="991" bestFit="1" customWidth="1"/>
    <col min="4883" max="5120" width="9.140625" style="991"/>
    <col min="5121" max="5121" width="5.7109375" style="991" bestFit="1" customWidth="1"/>
    <col min="5122" max="5122" width="5" style="991" bestFit="1" customWidth="1"/>
    <col min="5123" max="5123" width="21" style="991" bestFit="1" customWidth="1"/>
    <col min="5124" max="5124" width="7.28515625" style="991" customWidth="1"/>
    <col min="5125" max="5125" width="5.140625" style="991" bestFit="1" customWidth="1"/>
    <col min="5126" max="5126" width="2.140625" style="991" customWidth="1"/>
    <col min="5127" max="5127" width="18.5703125" style="991" customWidth="1"/>
    <col min="5128" max="5131" width="8.7109375" style="991" customWidth="1"/>
    <col min="5132" max="5138" width="8.7109375" style="991" bestFit="1" customWidth="1"/>
    <col min="5139" max="5376" width="9.140625" style="991"/>
    <col min="5377" max="5377" width="5.7109375" style="991" bestFit="1" customWidth="1"/>
    <col min="5378" max="5378" width="5" style="991" bestFit="1" customWidth="1"/>
    <col min="5379" max="5379" width="21" style="991" bestFit="1" customWidth="1"/>
    <col min="5380" max="5380" width="7.28515625" style="991" customWidth="1"/>
    <col min="5381" max="5381" width="5.140625" style="991" bestFit="1" customWidth="1"/>
    <col min="5382" max="5382" width="2.140625" style="991" customWidth="1"/>
    <col min="5383" max="5383" width="18.5703125" style="991" customWidth="1"/>
    <col min="5384" max="5387" width="8.7109375" style="991" customWidth="1"/>
    <col min="5388" max="5394" width="8.7109375" style="991" bestFit="1" customWidth="1"/>
    <col min="5395" max="5632" width="9.140625" style="991"/>
    <col min="5633" max="5633" width="5.7109375" style="991" bestFit="1" customWidth="1"/>
    <col min="5634" max="5634" width="5" style="991" bestFit="1" customWidth="1"/>
    <col min="5635" max="5635" width="21" style="991" bestFit="1" customWidth="1"/>
    <col min="5636" max="5636" width="7.28515625" style="991" customWidth="1"/>
    <col min="5637" max="5637" width="5.140625" style="991" bestFit="1" customWidth="1"/>
    <col min="5638" max="5638" width="2.140625" style="991" customWidth="1"/>
    <col min="5639" max="5639" width="18.5703125" style="991" customWidth="1"/>
    <col min="5640" max="5643" width="8.7109375" style="991" customWidth="1"/>
    <col min="5644" max="5650" width="8.7109375" style="991" bestFit="1" customWidth="1"/>
    <col min="5651" max="5888" width="9.140625" style="991"/>
    <col min="5889" max="5889" width="5.7109375" style="991" bestFit="1" customWidth="1"/>
    <col min="5890" max="5890" width="5" style="991" bestFit="1" customWidth="1"/>
    <col min="5891" max="5891" width="21" style="991" bestFit="1" customWidth="1"/>
    <col min="5892" max="5892" width="7.28515625" style="991" customWidth="1"/>
    <col min="5893" max="5893" width="5.140625" style="991" bestFit="1" customWidth="1"/>
    <col min="5894" max="5894" width="2.140625" style="991" customWidth="1"/>
    <col min="5895" max="5895" width="18.5703125" style="991" customWidth="1"/>
    <col min="5896" max="5899" width="8.7109375" style="991" customWidth="1"/>
    <col min="5900" max="5906" width="8.7109375" style="991" bestFit="1" customWidth="1"/>
    <col min="5907" max="6144" width="9.140625" style="991"/>
    <col min="6145" max="6145" width="5.7109375" style="991" bestFit="1" customWidth="1"/>
    <col min="6146" max="6146" width="5" style="991" bestFit="1" customWidth="1"/>
    <col min="6147" max="6147" width="21" style="991" bestFit="1" customWidth="1"/>
    <col min="6148" max="6148" width="7.28515625" style="991" customWidth="1"/>
    <col min="6149" max="6149" width="5.140625" style="991" bestFit="1" customWidth="1"/>
    <col min="6150" max="6150" width="2.140625" style="991" customWidth="1"/>
    <col min="6151" max="6151" width="18.5703125" style="991" customWidth="1"/>
    <col min="6152" max="6155" width="8.7109375" style="991" customWidth="1"/>
    <col min="6156" max="6162" width="8.7109375" style="991" bestFit="1" customWidth="1"/>
    <col min="6163" max="6400" width="9.140625" style="991"/>
    <col min="6401" max="6401" width="5.7109375" style="991" bestFit="1" customWidth="1"/>
    <col min="6402" max="6402" width="5" style="991" bestFit="1" customWidth="1"/>
    <col min="6403" max="6403" width="21" style="991" bestFit="1" customWidth="1"/>
    <col min="6404" max="6404" width="7.28515625" style="991" customWidth="1"/>
    <col min="6405" max="6405" width="5.140625" style="991" bestFit="1" customWidth="1"/>
    <col min="6406" max="6406" width="2.140625" style="991" customWidth="1"/>
    <col min="6407" max="6407" width="18.5703125" style="991" customWidth="1"/>
    <col min="6408" max="6411" width="8.7109375" style="991" customWidth="1"/>
    <col min="6412" max="6418" width="8.7109375" style="991" bestFit="1" customWidth="1"/>
    <col min="6419" max="6656" width="9.140625" style="991"/>
    <col min="6657" max="6657" width="5.7109375" style="991" bestFit="1" customWidth="1"/>
    <col min="6658" max="6658" width="5" style="991" bestFit="1" customWidth="1"/>
    <col min="6659" max="6659" width="21" style="991" bestFit="1" customWidth="1"/>
    <col min="6660" max="6660" width="7.28515625" style="991" customWidth="1"/>
    <col min="6661" max="6661" width="5.140625" style="991" bestFit="1" customWidth="1"/>
    <col min="6662" max="6662" width="2.140625" style="991" customWidth="1"/>
    <col min="6663" max="6663" width="18.5703125" style="991" customWidth="1"/>
    <col min="6664" max="6667" width="8.7109375" style="991" customWidth="1"/>
    <col min="6668" max="6674" width="8.7109375" style="991" bestFit="1" customWidth="1"/>
    <col min="6675" max="6912" width="9.140625" style="991"/>
    <col min="6913" max="6913" width="5.7109375" style="991" bestFit="1" customWidth="1"/>
    <col min="6914" max="6914" width="5" style="991" bestFit="1" customWidth="1"/>
    <col min="6915" max="6915" width="21" style="991" bestFit="1" customWidth="1"/>
    <col min="6916" max="6916" width="7.28515625" style="991" customWidth="1"/>
    <col min="6917" max="6917" width="5.140625" style="991" bestFit="1" customWidth="1"/>
    <col min="6918" max="6918" width="2.140625" style="991" customWidth="1"/>
    <col min="6919" max="6919" width="18.5703125" style="991" customWidth="1"/>
    <col min="6920" max="6923" width="8.7109375" style="991" customWidth="1"/>
    <col min="6924" max="6930" width="8.7109375" style="991" bestFit="1" customWidth="1"/>
    <col min="6931" max="7168" width="9.140625" style="991"/>
    <col min="7169" max="7169" width="5.7109375" style="991" bestFit="1" customWidth="1"/>
    <col min="7170" max="7170" width="5" style="991" bestFit="1" customWidth="1"/>
    <col min="7171" max="7171" width="21" style="991" bestFit="1" customWidth="1"/>
    <col min="7172" max="7172" width="7.28515625" style="991" customWidth="1"/>
    <col min="7173" max="7173" width="5.140625" style="991" bestFit="1" customWidth="1"/>
    <col min="7174" max="7174" width="2.140625" style="991" customWidth="1"/>
    <col min="7175" max="7175" width="18.5703125" style="991" customWidth="1"/>
    <col min="7176" max="7179" width="8.7109375" style="991" customWidth="1"/>
    <col min="7180" max="7186" width="8.7109375" style="991" bestFit="1" customWidth="1"/>
    <col min="7187" max="7424" width="9.140625" style="991"/>
    <col min="7425" max="7425" width="5.7109375" style="991" bestFit="1" customWidth="1"/>
    <col min="7426" max="7426" width="5" style="991" bestFit="1" customWidth="1"/>
    <col min="7427" max="7427" width="21" style="991" bestFit="1" customWidth="1"/>
    <col min="7428" max="7428" width="7.28515625" style="991" customWidth="1"/>
    <col min="7429" max="7429" width="5.140625" style="991" bestFit="1" customWidth="1"/>
    <col min="7430" max="7430" width="2.140625" style="991" customWidth="1"/>
    <col min="7431" max="7431" width="18.5703125" style="991" customWidth="1"/>
    <col min="7432" max="7435" width="8.7109375" style="991" customWidth="1"/>
    <col min="7436" max="7442" width="8.7109375" style="991" bestFit="1" customWidth="1"/>
    <col min="7443" max="7680" width="9.140625" style="991"/>
    <col min="7681" max="7681" width="5.7109375" style="991" bestFit="1" customWidth="1"/>
    <col min="7682" max="7682" width="5" style="991" bestFit="1" customWidth="1"/>
    <col min="7683" max="7683" width="21" style="991" bestFit="1" customWidth="1"/>
    <col min="7684" max="7684" width="7.28515625" style="991" customWidth="1"/>
    <col min="7685" max="7685" width="5.140625" style="991" bestFit="1" customWidth="1"/>
    <col min="7686" max="7686" width="2.140625" style="991" customWidth="1"/>
    <col min="7687" max="7687" width="18.5703125" style="991" customWidth="1"/>
    <col min="7688" max="7691" width="8.7109375" style="991" customWidth="1"/>
    <col min="7692" max="7698" width="8.7109375" style="991" bestFit="1" customWidth="1"/>
    <col min="7699" max="7936" width="9.140625" style="991"/>
    <col min="7937" max="7937" width="5.7109375" style="991" bestFit="1" customWidth="1"/>
    <col min="7938" max="7938" width="5" style="991" bestFit="1" customWidth="1"/>
    <col min="7939" max="7939" width="21" style="991" bestFit="1" customWidth="1"/>
    <col min="7940" max="7940" width="7.28515625" style="991" customWidth="1"/>
    <col min="7941" max="7941" width="5.140625" style="991" bestFit="1" customWidth="1"/>
    <col min="7942" max="7942" width="2.140625" style="991" customWidth="1"/>
    <col min="7943" max="7943" width="18.5703125" style="991" customWidth="1"/>
    <col min="7944" max="7947" width="8.7109375" style="991" customWidth="1"/>
    <col min="7948" max="7954" width="8.7109375" style="991" bestFit="1" customWidth="1"/>
    <col min="7955" max="8192" width="9.140625" style="991"/>
    <col min="8193" max="8193" width="5.7109375" style="991" bestFit="1" customWidth="1"/>
    <col min="8194" max="8194" width="5" style="991" bestFit="1" customWidth="1"/>
    <col min="8195" max="8195" width="21" style="991" bestFit="1" customWidth="1"/>
    <col min="8196" max="8196" width="7.28515625" style="991" customWidth="1"/>
    <col min="8197" max="8197" width="5.140625" style="991" bestFit="1" customWidth="1"/>
    <col min="8198" max="8198" width="2.140625" style="991" customWidth="1"/>
    <col min="8199" max="8199" width="18.5703125" style="991" customWidth="1"/>
    <col min="8200" max="8203" width="8.7109375" style="991" customWidth="1"/>
    <col min="8204" max="8210" width="8.7109375" style="991" bestFit="1" customWidth="1"/>
    <col min="8211" max="8448" width="9.140625" style="991"/>
    <col min="8449" max="8449" width="5.7109375" style="991" bestFit="1" customWidth="1"/>
    <col min="8450" max="8450" width="5" style="991" bestFit="1" customWidth="1"/>
    <col min="8451" max="8451" width="21" style="991" bestFit="1" customWidth="1"/>
    <col min="8452" max="8452" width="7.28515625" style="991" customWidth="1"/>
    <col min="8453" max="8453" width="5.140625" style="991" bestFit="1" customWidth="1"/>
    <col min="8454" max="8454" width="2.140625" style="991" customWidth="1"/>
    <col min="8455" max="8455" width="18.5703125" style="991" customWidth="1"/>
    <col min="8456" max="8459" width="8.7109375" style="991" customWidth="1"/>
    <col min="8460" max="8466" width="8.7109375" style="991" bestFit="1" customWidth="1"/>
    <col min="8467" max="8704" width="9.140625" style="991"/>
    <col min="8705" max="8705" width="5.7109375" style="991" bestFit="1" customWidth="1"/>
    <col min="8706" max="8706" width="5" style="991" bestFit="1" customWidth="1"/>
    <col min="8707" max="8707" width="21" style="991" bestFit="1" customWidth="1"/>
    <col min="8708" max="8708" width="7.28515625" style="991" customWidth="1"/>
    <col min="8709" max="8709" width="5.140625" style="991" bestFit="1" customWidth="1"/>
    <col min="8710" max="8710" width="2.140625" style="991" customWidth="1"/>
    <col min="8711" max="8711" width="18.5703125" style="991" customWidth="1"/>
    <col min="8712" max="8715" width="8.7109375" style="991" customWidth="1"/>
    <col min="8716" max="8722" width="8.7109375" style="991" bestFit="1" customWidth="1"/>
    <col min="8723" max="8960" width="9.140625" style="991"/>
    <col min="8961" max="8961" width="5.7109375" style="991" bestFit="1" customWidth="1"/>
    <col min="8962" max="8962" width="5" style="991" bestFit="1" customWidth="1"/>
    <col min="8963" max="8963" width="21" style="991" bestFit="1" customWidth="1"/>
    <col min="8964" max="8964" width="7.28515625" style="991" customWidth="1"/>
    <col min="8965" max="8965" width="5.140625" style="991" bestFit="1" customWidth="1"/>
    <col min="8966" max="8966" width="2.140625" style="991" customWidth="1"/>
    <col min="8967" max="8967" width="18.5703125" style="991" customWidth="1"/>
    <col min="8968" max="8971" width="8.7109375" style="991" customWidth="1"/>
    <col min="8972" max="8978" width="8.7109375" style="991" bestFit="1" customWidth="1"/>
    <col min="8979" max="9216" width="9.140625" style="991"/>
    <col min="9217" max="9217" width="5.7109375" style="991" bestFit="1" customWidth="1"/>
    <col min="9218" max="9218" width="5" style="991" bestFit="1" customWidth="1"/>
    <col min="9219" max="9219" width="21" style="991" bestFit="1" customWidth="1"/>
    <col min="9220" max="9220" width="7.28515625" style="991" customWidth="1"/>
    <col min="9221" max="9221" width="5.140625" style="991" bestFit="1" customWidth="1"/>
    <col min="9222" max="9222" width="2.140625" style="991" customWidth="1"/>
    <col min="9223" max="9223" width="18.5703125" style="991" customWidth="1"/>
    <col min="9224" max="9227" width="8.7109375" style="991" customWidth="1"/>
    <col min="9228" max="9234" width="8.7109375" style="991" bestFit="1" customWidth="1"/>
    <col min="9235" max="9472" width="9.140625" style="991"/>
    <col min="9473" max="9473" width="5.7109375" style="991" bestFit="1" customWidth="1"/>
    <col min="9474" max="9474" width="5" style="991" bestFit="1" customWidth="1"/>
    <col min="9475" max="9475" width="21" style="991" bestFit="1" customWidth="1"/>
    <col min="9476" max="9476" width="7.28515625" style="991" customWidth="1"/>
    <col min="9477" max="9477" width="5.140625" style="991" bestFit="1" customWidth="1"/>
    <col min="9478" max="9478" width="2.140625" style="991" customWidth="1"/>
    <col min="9479" max="9479" width="18.5703125" style="991" customWidth="1"/>
    <col min="9480" max="9483" width="8.7109375" style="991" customWidth="1"/>
    <col min="9484" max="9490" width="8.7109375" style="991" bestFit="1" customWidth="1"/>
    <col min="9491" max="9728" width="9.140625" style="991"/>
    <col min="9729" max="9729" width="5.7109375" style="991" bestFit="1" customWidth="1"/>
    <col min="9730" max="9730" width="5" style="991" bestFit="1" customWidth="1"/>
    <col min="9731" max="9731" width="21" style="991" bestFit="1" customWidth="1"/>
    <col min="9732" max="9732" width="7.28515625" style="991" customWidth="1"/>
    <col min="9733" max="9733" width="5.140625" style="991" bestFit="1" customWidth="1"/>
    <col min="9734" max="9734" width="2.140625" style="991" customWidth="1"/>
    <col min="9735" max="9735" width="18.5703125" style="991" customWidth="1"/>
    <col min="9736" max="9739" width="8.7109375" style="991" customWidth="1"/>
    <col min="9740" max="9746" width="8.7109375" style="991" bestFit="1" customWidth="1"/>
    <col min="9747" max="9984" width="9.140625" style="991"/>
    <col min="9985" max="9985" width="5.7109375" style="991" bestFit="1" customWidth="1"/>
    <col min="9986" max="9986" width="5" style="991" bestFit="1" customWidth="1"/>
    <col min="9987" max="9987" width="21" style="991" bestFit="1" customWidth="1"/>
    <col min="9988" max="9988" width="7.28515625" style="991" customWidth="1"/>
    <col min="9989" max="9989" width="5.140625" style="991" bestFit="1" customWidth="1"/>
    <col min="9990" max="9990" width="2.140625" style="991" customWidth="1"/>
    <col min="9991" max="9991" width="18.5703125" style="991" customWidth="1"/>
    <col min="9992" max="9995" width="8.7109375" style="991" customWidth="1"/>
    <col min="9996" max="10002" width="8.7109375" style="991" bestFit="1" customWidth="1"/>
    <col min="10003" max="10240" width="9.140625" style="991"/>
    <col min="10241" max="10241" width="5.7109375" style="991" bestFit="1" customWidth="1"/>
    <col min="10242" max="10242" width="5" style="991" bestFit="1" customWidth="1"/>
    <col min="10243" max="10243" width="21" style="991" bestFit="1" customWidth="1"/>
    <col min="10244" max="10244" width="7.28515625" style="991" customWidth="1"/>
    <col min="10245" max="10245" width="5.140625" style="991" bestFit="1" customWidth="1"/>
    <col min="10246" max="10246" width="2.140625" style="991" customWidth="1"/>
    <col min="10247" max="10247" width="18.5703125" style="991" customWidth="1"/>
    <col min="10248" max="10251" width="8.7109375" style="991" customWidth="1"/>
    <col min="10252" max="10258" width="8.7109375" style="991" bestFit="1" customWidth="1"/>
    <col min="10259" max="10496" width="9.140625" style="991"/>
    <col min="10497" max="10497" width="5.7109375" style="991" bestFit="1" customWidth="1"/>
    <col min="10498" max="10498" width="5" style="991" bestFit="1" customWidth="1"/>
    <col min="10499" max="10499" width="21" style="991" bestFit="1" customWidth="1"/>
    <col min="10500" max="10500" width="7.28515625" style="991" customWidth="1"/>
    <col min="10501" max="10501" width="5.140625" style="991" bestFit="1" customWidth="1"/>
    <col min="10502" max="10502" width="2.140625" style="991" customWidth="1"/>
    <col min="10503" max="10503" width="18.5703125" style="991" customWidth="1"/>
    <col min="10504" max="10507" width="8.7109375" style="991" customWidth="1"/>
    <col min="10508" max="10514" width="8.7109375" style="991" bestFit="1" customWidth="1"/>
    <col min="10515" max="10752" width="9.140625" style="991"/>
    <col min="10753" max="10753" width="5.7109375" style="991" bestFit="1" customWidth="1"/>
    <col min="10754" max="10754" width="5" style="991" bestFit="1" customWidth="1"/>
    <col min="10755" max="10755" width="21" style="991" bestFit="1" customWidth="1"/>
    <col min="10756" max="10756" width="7.28515625" style="991" customWidth="1"/>
    <col min="10757" max="10757" width="5.140625" style="991" bestFit="1" customWidth="1"/>
    <col min="10758" max="10758" width="2.140625" style="991" customWidth="1"/>
    <col min="10759" max="10759" width="18.5703125" style="991" customWidth="1"/>
    <col min="10760" max="10763" width="8.7109375" style="991" customWidth="1"/>
    <col min="10764" max="10770" width="8.7109375" style="991" bestFit="1" customWidth="1"/>
    <col min="10771" max="11008" width="9.140625" style="991"/>
    <col min="11009" max="11009" width="5.7109375" style="991" bestFit="1" customWidth="1"/>
    <col min="11010" max="11010" width="5" style="991" bestFit="1" customWidth="1"/>
    <col min="11011" max="11011" width="21" style="991" bestFit="1" customWidth="1"/>
    <col min="11012" max="11012" width="7.28515625" style="991" customWidth="1"/>
    <col min="11013" max="11013" width="5.140625" style="991" bestFit="1" customWidth="1"/>
    <col min="11014" max="11014" width="2.140625" style="991" customWidth="1"/>
    <col min="11015" max="11015" width="18.5703125" style="991" customWidth="1"/>
    <col min="11016" max="11019" width="8.7109375" style="991" customWidth="1"/>
    <col min="11020" max="11026" width="8.7109375" style="991" bestFit="1" customWidth="1"/>
    <col min="11027" max="11264" width="9.140625" style="991"/>
    <col min="11265" max="11265" width="5.7109375" style="991" bestFit="1" customWidth="1"/>
    <col min="11266" max="11266" width="5" style="991" bestFit="1" customWidth="1"/>
    <col min="11267" max="11267" width="21" style="991" bestFit="1" customWidth="1"/>
    <col min="11268" max="11268" width="7.28515625" style="991" customWidth="1"/>
    <col min="11269" max="11269" width="5.140625" style="991" bestFit="1" customWidth="1"/>
    <col min="11270" max="11270" width="2.140625" style="991" customWidth="1"/>
    <col min="11271" max="11271" width="18.5703125" style="991" customWidth="1"/>
    <col min="11272" max="11275" width="8.7109375" style="991" customWidth="1"/>
    <col min="11276" max="11282" width="8.7109375" style="991" bestFit="1" customWidth="1"/>
    <col min="11283" max="11520" width="9.140625" style="991"/>
    <col min="11521" max="11521" width="5.7109375" style="991" bestFit="1" customWidth="1"/>
    <col min="11522" max="11522" width="5" style="991" bestFit="1" customWidth="1"/>
    <col min="11523" max="11523" width="21" style="991" bestFit="1" customWidth="1"/>
    <col min="11524" max="11524" width="7.28515625" style="991" customWidth="1"/>
    <col min="11525" max="11525" width="5.140625" style="991" bestFit="1" customWidth="1"/>
    <col min="11526" max="11526" width="2.140625" style="991" customWidth="1"/>
    <col min="11527" max="11527" width="18.5703125" style="991" customWidth="1"/>
    <col min="11528" max="11531" width="8.7109375" style="991" customWidth="1"/>
    <col min="11532" max="11538" width="8.7109375" style="991" bestFit="1" customWidth="1"/>
    <col min="11539" max="11776" width="9.140625" style="991"/>
    <col min="11777" max="11777" width="5.7109375" style="991" bestFit="1" customWidth="1"/>
    <col min="11778" max="11778" width="5" style="991" bestFit="1" customWidth="1"/>
    <col min="11779" max="11779" width="21" style="991" bestFit="1" customWidth="1"/>
    <col min="11780" max="11780" width="7.28515625" style="991" customWidth="1"/>
    <col min="11781" max="11781" width="5.140625" style="991" bestFit="1" customWidth="1"/>
    <col min="11782" max="11782" width="2.140625" style="991" customWidth="1"/>
    <col min="11783" max="11783" width="18.5703125" style="991" customWidth="1"/>
    <col min="11784" max="11787" width="8.7109375" style="991" customWidth="1"/>
    <col min="11788" max="11794" width="8.7109375" style="991" bestFit="1" customWidth="1"/>
    <col min="11795" max="12032" width="9.140625" style="991"/>
    <col min="12033" max="12033" width="5.7109375" style="991" bestFit="1" customWidth="1"/>
    <col min="12034" max="12034" width="5" style="991" bestFit="1" customWidth="1"/>
    <col min="12035" max="12035" width="21" style="991" bestFit="1" customWidth="1"/>
    <col min="12036" max="12036" width="7.28515625" style="991" customWidth="1"/>
    <col min="12037" max="12037" width="5.140625" style="991" bestFit="1" customWidth="1"/>
    <col min="12038" max="12038" width="2.140625" style="991" customWidth="1"/>
    <col min="12039" max="12039" width="18.5703125" style="991" customWidth="1"/>
    <col min="12040" max="12043" width="8.7109375" style="991" customWidth="1"/>
    <col min="12044" max="12050" width="8.7109375" style="991" bestFit="1" customWidth="1"/>
    <col min="12051" max="12288" width="9.140625" style="991"/>
    <col min="12289" max="12289" width="5.7109375" style="991" bestFit="1" customWidth="1"/>
    <col min="12290" max="12290" width="5" style="991" bestFit="1" customWidth="1"/>
    <col min="12291" max="12291" width="21" style="991" bestFit="1" customWidth="1"/>
    <col min="12292" max="12292" width="7.28515625" style="991" customWidth="1"/>
    <col min="12293" max="12293" width="5.140625" style="991" bestFit="1" customWidth="1"/>
    <col min="12294" max="12294" width="2.140625" style="991" customWidth="1"/>
    <col min="12295" max="12295" width="18.5703125" style="991" customWidth="1"/>
    <col min="12296" max="12299" width="8.7109375" style="991" customWidth="1"/>
    <col min="12300" max="12306" width="8.7109375" style="991" bestFit="1" customWidth="1"/>
    <col min="12307" max="12544" width="9.140625" style="991"/>
    <col min="12545" max="12545" width="5.7109375" style="991" bestFit="1" customWidth="1"/>
    <col min="12546" max="12546" width="5" style="991" bestFit="1" customWidth="1"/>
    <col min="12547" max="12547" width="21" style="991" bestFit="1" customWidth="1"/>
    <col min="12548" max="12548" width="7.28515625" style="991" customWidth="1"/>
    <col min="12549" max="12549" width="5.140625" style="991" bestFit="1" customWidth="1"/>
    <col min="12550" max="12550" width="2.140625" style="991" customWidth="1"/>
    <col min="12551" max="12551" width="18.5703125" style="991" customWidth="1"/>
    <col min="12552" max="12555" width="8.7109375" style="991" customWidth="1"/>
    <col min="12556" max="12562" width="8.7109375" style="991" bestFit="1" customWidth="1"/>
    <col min="12563" max="12800" width="9.140625" style="991"/>
    <col min="12801" max="12801" width="5.7109375" style="991" bestFit="1" customWidth="1"/>
    <col min="12802" max="12802" width="5" style="991" bestFit="1" customWidth="1"/>
    <col min="12803" max="12803" width="21" style="991" bestFit="1" customWidth="1"/>
    <col min="12804" max="12804" width="7.28515625" style="991" customWidth="1"/>
    <col min="12805" max="12805" width="5.140625" style="991" bestFit="1" customWidth="1"/>
    <col min="12806" max="12806" width="2.140625" style="991" customWidth="1"/>
    <col min="12807" max="12807" width="18.5703125" style="991" customWidth="1"/>
    <col min="12808" max="12811" width="8.7109375" style="991" customWidth="1"/>
    <col min="12812" max="12818" width="8.7109375" style="991" bestFit="1" customWidth="1"/>
    <col min="12819" max="13056" width="9.140625" style="991"/>
    <col min="13057" max="13057" width="5.7109375" style="991" bestFit="1" customWidth="1"/>
    <col min="13058" max="13058" width="5" style="991" bestFit="1" customWidth="1"/>
    <col min="13059" max="13059" width="21" style="991" bestFit="1" customWidth="1"/>
    <col min="13060" max="13060" width="7.28515625" style="991" customWidth="1"/>
    <col min="13061" max="13061" width="5.140625" style="991" bestFit="1" customWidth="1"/>
    <col min="13062" max="13062" width="2.140625" style="991" customWidth="1"/>
    <col min="13063" max="13063" width="18.5703125" style="991" customWidth="1"/>
    <col min="13064" max="13067" width="8.7109375" style="991" customWidth="1"/>
    <col min="13068" max="13074" width="8.7109375" style="991" bestFit="1" customWidth="1"/>
    <col min="13075" max="13312" width="9.140625" style="991"/>
    <col min="13313" max="13313" width="5.7109375" style="991" bestFit="1" customWidth="1"/>
    <col min="13314" max="13314" width="5" style="991" bestFit="1" customWidth="1"/>
    <col min="13315" max="13315" width="21" style="991" bestFit="1" customWidth="1"/>
    <col min="13316" max="13316" width="7.28515625" style="991" customWidth="1"/>
    <col min="13317" max="13317" width="5.140625" style="991" bestFit="1" customWidth="1"/>
    <col min="13318" max="13318" width="2.140625" style="991" customWidth="1"/>
    <col min="13319" max="13319" width="18.5703125" style="991" customWidth="1"/>
    <col min="13320" max="13323" width="8.7109375" style="991" customWidth="1"/>
    <col min="13324" max="13330" width="8.7109375" style="991" bestFit="1" customWidth="1"/>
    <col min="13331" max="13568" width="9.140625" style="991"/>
    <col min="13569" max="13569" width="5.7109375" style="991" bestFit="1" customWidth="1"/>
    <col min="13570" max="13570" width="5" style="991" bestFit="1" customWidth="1"/>
    <col min="13571" max="13571" width="21" style="991" bestFit="1" customWidth="1"/>
    <col min="13572" max="13572" width="7.28515625" style="991" customWidth="1"/>
    <col min="13573" max="13573" width="5.140625" style="991" bestFit="1" customWidth="1"/>
    <col min="13574" max="13574" width="2.140625" style="991" customWidth="1"/>
    <col min="13575" max="13575" width="18.5703125" style="991" customWidth="1"/>
    <col min="13576" max="13579" width="8.7109375" style="991" customWidth="1"/>
    <col min="13580" max="13586" width="8.7109375" style="991" bestFit="1" customWidth="1"/>
    <col min="13587" max="13824" width="9.140625" style="991"/>
    <col min="13825" max="13825" width="5.7109375" style="991" bestFit="1" customWidth="1"/>
    <col min="13826" max="13826" width="5" style="991" bestFit="1" customWidth="1"/>
    <col min="13827" max="13827" width="21" style="991" bestFit="1" customWidth="1"/>
    <col min="13828" max="13828" width="7.28515625" style="991" customWidth="1"/>
    <col min="13829" max="13829" width="5.140625" style="991" bestFit="1" customWidth="1"/>
    <col min="13830" max="13830" width="2.140625" style="991" customWidth="1"/>
    <col min="13831" max="13831" width="18.5703125" style="991" customWidth="1"/>
    <col min="13832" max="13835" width="8.7109375" style="991" customWidth="1"/>
    <col min="13836" max="13842" width="8.7109375" style="991" bestFit="1" customWidth="1"/>
    <col min="13843" max="14080" width="9.140625" style="991"/>
    <col min="14081" max="14081" width="5.7109375" style="991" bestFit="1" customWidth="1"/>
    <col min="14082" max="14082" width="5" style="991" bestFit="1" customWidth="1"/>
    <col min="14083" max="14083" width="21" style="991" bestFit="1" customWidth="1"/>
    <col min="14084" max="14084" width="7.28515625" style="991" customWidth="1"/>
    <col min="14085" max="14085" width="5.140625" style="991" bestFit="1" customWidth="1"/>
    <col min="14086" max="14086" width="2.140625" style="991" customWidth="1"/>
    <col min="14087" max="14087" width="18.5703125" style="991" customWidth="1"/>
    <col min="14088" max="14091" width="8.7109375" style="991" customWidth="1"/>
    <col min="14092" max="14098" width="8.7109375" style="991" bestFit="1" customWidth="1"/>
    <col min="14099" max="14336" width="9.140625" style="991"/>
    <col min="14337" max="14337" width="5.7109375" style="991" bestFit="1" customWidth="1"/>
    <col min="14338" max="14338" width="5" style="991" bestFit="1" customWidth="1"/>
    <col min="14339" max="14339" width="21" style="991" bestFit="1" customWidth="1"/>
    <col min="14340" max="14340" width="7.28515625" style="991" customWidth="1"/>
    <col min="14341" max="14341" width="5.140625" style="991" bestFit="1" customWidth="1"/>
    <col min="14342" max="14342" width="2.140625" style="991" customWidth="1"/>
    <col min="14343" max="14343" width="18.5703125" style="991" customWidth="1"/>
    <col min="14344" max="14347" width="8.7109375" style="991" customWidth="1"/>
    <col min="14348" max="14354" width="8.7109375" style="991" bestFit="1" customWidth="1"/>
    <col min="14355" max="14592" width="9.140625" style="991"/>
    <col min="14593" max="14593" width="5.7109375" style="991" bestFit="1" customWidth="1"/>
    <col min="14594" max="14594" width="5" style="991" bestFit="1" customWidth="1"/>
    <col min="14595" max="14595" width="21" style="991" bestFit="1" customWidth="1"/>
    <col min="14596" max="14596" width="7.28515625" style="991" customWidth="1"/>
    <col min="14597" max="14597" width="5.140625" style="991" bestFit="1" customWidth="1"/>
    <col min="14598" max="14598" width="2.140625" style="991" customWidth="1"/>
    <col min="14599" max="14599" width="18.5703125" style="991" customWidth="1"/>
    <col min="14600" max="14603" width="8.7109375" style="991" customWidth="1"/>
    <col min="14604" max="14610" width="8.7109375" style="991" bestFit="1" customWidth="1"/>
    <col min="14611" max="14848" width="9.140625" style="991"/>
    <col min="14849" max="14849" width="5.7109375" style="991" bestFit="1" customWidth="1"/>
    <col min="14850" max="14850" width="5" style="991" bestFit="1" customWidth="1"/>
    <col min="14851" max="14851" width="21" style="991" bestFit="1" customWidth="1"/>
    <col min="14852" max="14852" width="7.28515625" style="991" customWidth="1"/>
    <col min="14853" max="14853" width="5.140625" style="991" bestFit="1" customWidth="1"/>
    <col min="14854" max="14854" width="2.140625" style="991" customWidth="1"/>
    <col min="14855" max="14855" width="18.5703125" style="991" customWidth="1"/>
    <col min="14856" max="14859" width="8.7109375" style="991" customWidth="1"/>
    <col min="14860" max="14866" width="8.7109375" style="991" bestFit="1" customWidth="1"/>
    <col min="14867" max="15104" width="9.140625" style="991"/>
    <col min="15105" max="15105" width="5.7109375" style="991" bestFit="1" customWidth="1"/>
    <col min="15106" max="15106" width="5" style="991" bestFit="1" customWidth="1"/>
    <col min="15107" max="15107" width="21" style="991" bestFit="1" customWidth="1"/>
    <col min="15108" max="15108" width="7.28515625" style="991" customWidth="1"/>
    <col min="15109" max="15109" width="5.140625" style="991" bestFit="1" customWidth="1"/>
    <col min="15110" max="15110" width="2.140625" style="991" customWidth="1"/>
    <col min="15111" max="15111" width="18.5703125" style="991" customWidth="1"/>
    <col min="15112" max="15115" width="8.7109375" style="991" customWidth="1"/>
    <col min="15116" max="15122" width="8.7109375" style="991" bestFit="1" customWidth="1"/>
    <col min="15123" max="15360" width="9.140625" style="991"/>
    <col min="15361" max="15361" width="5.7109375" style="991" bestFit="1" customWidth="1"/>
    <col min="15362" max="15362" width="5" style="991" bestFit="1" customWidth="1"/>
    <col min="15363" max="15363" width="21" style="991" bestFit="1" customWidth="1"/>
    <col min="15364" max="15364" width="7.28515625" style="991" customWidth="1"/>
    <col min="15365" max="15365" width="5.140625" style="991" bestFit="1" customWidth="1"/>
    <col min="15366" max="15366" width="2.140625" style="991" customWidth="1"/>
    <col min="15367" max="15367" width="18.5703125" style="991" customWidth="1"/>
    <col min="15368" max="15371" width="8.7109375" style="991" customWidth="1"/>
    <col min="15372" max="15378" width="8.7109375" style="991" bestFit="1" customWidth="1"/>
    <col min="15379" max="15616" width="9.140625" style="991"/>
    <col min="15617" max="15617" width="5.7109375" style="991" bestFit="1" customWidth="1"/>
    <col min="15618" max="15618" width="5" style="991" bestFit="1" customWidth="1"/>
    <col min="15619" max="15619" width="21" style="991" bestFit="1" customWidth="1"/>
    <col min="15620" max="15620" width="7.28515625" style="991" customWidth="1"/>
    <col min="15621" max="15621" width="5.140625" style="991" bestFit="1" customWidth="1"/>
    <col min="15622" max="15622" width="2.140625" style="991" customWidth="1"/>
    <col min="15623" max="15623" width="18.5703125" style="991" customWidth="1"/>
    <col min="15624" max="15627" width="8.7109375" style="991" customWidth="1"/>
    <col min="15628" max="15634" width="8.7109375" style="991" bestFit="1" customWidth="1"/>
    <col min="15635" max="15872" width="9.140625" style="991"/>
    <col min="15873" max="15873" width="5.7109375" style="991" bestFit="1" customWidth="1"/>
    <col min="15874" max="15874" width="5" style="991" bestFit="1" customWidth="1"/>
    <col min="15875" max="15875" width="21" style="991" bestFit="1" customWidth="1"/>
    <col min="15876" max="15876" width="7.28515625" style="991" customWidth="1"/>
    <col min="15877" max="15877" width="5.140625" style="991" bestFit="1" customWidth="1"/>
    <col min="15878" max="15878" width="2.140625" style="991" customWidth="1"/>
    <col min="15879" max="15879" width="18.5703125" style="991" customWidth="1"/>
    <col min="15880" max="15883" width="8.7109375" style="991" customWidth="1"/>
    <col min="15884" max="15890" width="8.7109375" style="991" bestFit="1" customWidth="1"/>
    <col min="15891" max="16128" width="9.140625" style="991"/>
    <col min="16129" max="16129" width="5.7109375" style="991" bestFit="1" customWidth="1"/>
    <col min="16130" max="16130" width="5" style="991" bestFit="1" customWidth="1"/>
    <col min="16131" max="16131" width="21" style="991" bestFit="1" customWidth="1"/>
    <col min="16132" max="16132" width="7.28515625" style="991" customWidth="1"/>
    <col min="16133" max="16133" width="5.140625" style="991" bestFit="1" customWidth="1"/>
    <col min="16134" max="16134" width="2.140625" style="991" customWidth="1"/>
    <col min="16135" max="16135" width="18.5703125" style="991" customWidth="1"/>
    <col min="16136" max="16139" width="8.7109375" style="991" customWidth="1"/>
    <col min="16140" max="16146" width="8.7109375" style="991" bestFit="1" customWidth="1"/>
    <col min="16147" max="16384" width="9.140625" style="991"/>
  </cols>
  <sheetData>
    <row r="1" spans="1:18" x14ac:dyDescent="0.2">
      <c r="A1" s="1"/>
      <c r="C1" s="3"/>
      <c r="D1" s="3"/>
      <c r="E1" s="1"/>
      <c r="F1" s="1"/>
      <c r="G1" s="991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992" t="s">
        <v>499</v>
      </c>
      <c r="H2" s="993" t="s">
        <v>500</v>
      </c>
      <c r="I2" s="994"/>
      <c r="J2" s="995"/>
      <c r="K2" s="1281" t="s">
        <v>6</v>
      </c>
      <c r="L2" s="1282"/>
      <c r="M2" s="1283" t="s">
        <v>501</v>
      </c>
      <c r="N2" s="1284"/>
      <c r="O2" s="1284"/>
      <c r="P2" s="1284"/>
      <c r="Q2" s="1284"/>
      <c r="R2" s="1285"/>
    </row>
    <row r="3" spans="1:18" x14ac:dyDescent="0.2">
      <c r="A3" s="1"/>
      <c r="B3" s="10"/>
      <c r="C3" s="3"/>
      <c r="D3" s="3"/>
      <c r="E3" s="1"/>
      <c r="F3" s="1"/>
      <c r="G3" s="996" t="s">
        <v>7</v>
      </c>
      <c r="H3" s="997">
        <v>40908</v>
      </c>
      <c r="I3" s="997">
        <v>41274</v>
      </c>
      <c r="J3" s="997">
        <v>41639</v>
      </c>
      <c r="K3" s="997">
        <v>42004</v>
      </c>
      <c r="L3" s="997">
        <v>42369</v>
      </c>
      <c r="M3" s="997">
        <v>42735</v>
      </c>
      <c r="N3" s="997">
        <v>43100</v>
      </c>
      <c r="O3" s="997">
        <v>43465</v>
      </c>
      <c r="P3" s="997">
        <v>43830</v>
      </c>
      <c r="Q3" s="997">
        <v>44196</v>
      </c>
      <c r="R3" s="997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998" t="s">
        <v>9</v>
      </c>
      <c r="H4" s="999">
        <f t="shared" ref="H4:R4" si="0">H5+H10</f>
        <v>6569.07</v>
      </c>
      <c r="I4" s="999">
        <f t="shared" si="0"/>
        <v>148.16399999999999</v>
      </c>
      <c r="J4" s="999">
        <f t="shared" si="0"/>
        <v>496.83599999999996</v>
      </c>
      <c r="K4" s="999">
        <f t="shared" si="0"/>
        <v>375.57899999999995</v>
      </c>
      <c r="L4" s="999">
        <f t="shared" si="0"/>
        <v>339.23899999999998</v>
      </c>
      <c r="M4" s="999">
        <f t="shared" si="0"/>
        <v>1116</v>
      </c>
      <c r="N4" s="999">
        <f t="shared" si="0"/>
        <v>970</v>
      </c>
      <c r="O4" s="999">
        <f t="shared" si="0"/>
        <v>989</v>
      </c>
      <c r="P4" s="999">
        <f t="shared" si="0"/>
        <v>969</v>
      </c>
      <c r="Q4" s="999">
        <f t="shared" si="0"/>
        <v>919</v>
      </c>
      <c r="R4" s="999">
        <f t="shared" si="0"/>
        <v>899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999">
        <f t="shared" ref="H5:Q5" si="1">SUM(H6:H9)</f>
        <v>117.61600000000001</v>
      </c>
      <c r="I5" s="999">
        <f t="shared" si="1"/>
        <v>57.07</v>
      </c>
      <c r="J5" s="999">
        <f t="shared" si="1"/>
        <v>48.774999999999999</v>
      </c>
      <c r="K5" s="999">
        <f t="shared" si="1"/>
        <v>44.462999999999994</v>
      </c>
      <c r="L5" s="999">
        <f t="shared" si="1"/>
        <v>91.704999999999998</v>
      </c>
      <c r="M5" s="999">
        <f t="shared" si="1"/>
        <v>924</v>
      </c>
      <c r="N5" s="999">
        <f t="shared" si="1"/>
        <v>257</v>
      </c>
      <c r="O5" s="999">
        <f t="shared" si="1"/>
        <v>371</v>
      </c>
      <c r="P5" s="999">
        <f t="shared" si="1"/>
        <v>309</v>
      </c>
      <c r="Q5" s="999">
        <f t="shared" si="1"/>
        <v>349</v>
      </c>
      <c r="R5" s="999">
        <f>SUM(R6:R9)</f>
        <v>419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1000">
        <v>74.299000000000007</v>
      </c>
      <c r="I6" s="1000">
        <v>6.2439999999999998</v>
      </c>
      <c r="J6" s="1000">
        <v>2.8410000000000002</v>
      </c>
      <c r="K6" s="1000">
        <v>2.133</v>
      </c>
      <c r="L6" s="1000">
        <v>25.367000000000001</v>
      </c>
      <c r="M6" s="1000">
        <v>208</v>
      </c>
      <c r="N6" s="1000">
        <v>182</v>
      </c>
      <c r="O6" s="1000">
        <v>250</v>
      </c>
      <c r="P6" s="1000">
        <v>189</v>
      </c>
      <c r="Q6" s="1000">
        <v>209</v>
      </c>
      <c r="R6" s="1000">
        <v>269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1000">
        <v>32.530999999999999</v>
      </c>
      <c r="I7" s="1000">
        <v>39.244</v>
      </c>
      <c r="J7" s="1000">
        <v>30.077000000000002</v>
      </c>
      <c r="K7" s="1000">
        <v>28.454999999999998</v>
      </c>
      <c r="L7" s="1000">
        <v>57.116999999999997</v>
      </c>
      <c r="M7" s="1000">
        <v>705</v>
      </c>
      <c r="N7" s="1000">
        <v>60</v>
      </c>
      <c r="O7" s="1000">
        <v>100</v>
      </c>
      <c r="P7" s="1000">
        <v>100</v>
      </c>
      <c r="Q7" s="1000">
        <v>120</v>
      </c>
      <c r="R7" s="1000">
        <v>150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1000">
        <v>0</v>
      </c>
      <c r="I8" s="1000">
        <v>0</v>
      </c>
      <c r="J8" s="1000">
        <v>0</v>
      </c>
      <c r="K8" s="1000">
        <v>0</v>
      </c>
      <c r="L8" s="1000">
        <v>0</v>
      </c>
      <c r="M8" s="1000">
        <v>0</v>
      </c>
      <c r="N8" s="1000">
        <v>0</v>
      </c>
      <c r="O8" s="1000">
        <v>0</v>
      </c>
      <c r="P8" s="1000">
        <v>0</v>
      </c>
      <c r="Q8" s="1000">
        <v>0</v>
      </c>
      <c r="R8" s="1000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1000">
        <v>10.786</v>
      </c>
      <c r="I9" s="1000">
        <v>11.582000000000001</v>
      </c>
      <c r="J9" s="1000">
        <v>15.856999999999999</v>
      </c>
      <c r="K9" s="1000">
        <v>13.875</v>
      </c>
      <c r="L9" s="1000">
        <v>9.2210000000000001</v>
      </c>
      <c r="M9" s="1000">
        <v>11</v>
      </c>
      <c r="N9" s="1000">
        <v>15</v>
      </c>
      <c r="O9" s="1000">
        <v>21</v>
      </c>
      <c r="P9" s="1000">
        <v>20</v>
      </c>
      <c r="Q9" s="1000">
        <v>20</v>
      </c>
      <c r="R9" s="1000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999">
        <f>SUM(H11:H16)</f>
        <v>6451.4539999999997</v>
      </c>
      <c r="I10" s="999">
        <f t="shared" ref="I10:R10" si="2">SUM(I11:I16)</f>
        <v>91.093999999999994</v>
      </c>
      <c r="J10" s="999">
        <f t="shared" si="2"/>
        <v>448.06099999999998</v>
      </c>
      <c r="K10" s="999">
        <f t="shared" si="2"/>
        <v>331.11599999999999</v>
      </c>
      <c r="L10" s="999">
        <f t="shared" si="2"/>
        <v>247.53399999999999</v>
      </c>
      <c r="M10" s="999">
        <f t="shared" si="2"/>
        <v>192</v>
      </c>
      <c r="N10" s="999">
        <f t="shared" si="2"/>
        <v>713</v>
      </c>
      <c r="O10" s="999">
        <f t="shared" si="2"/>
        <v>618</v>
      </c>
      <c r="P10" s="999">
        <f t="shared" si="2"/>
        <v>660</v>
      </c>
      <c r="Q10" s="999">
        <f t="shared" si="2"/>
        <v>570</v>
      </c>
      <c r="R10" s="999">
        <f t="shared" si="2"/>
        <v>480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1000">
        <v>0</v>
      </c>
      <c r="I11" s="1000">
        <v>0</v>
      </c>
      <c r="J11" s="1000">
        <v>0</v>
      </c>
      <c r="K11" s="1000">
        <v>0</v>
      </c>
      <c r="L11" s="1000">
        <v>0</v>
      </c>
      <c r="M11" s="1000">
        <v>0</v>
      </c>
      <c r="N11" s="1000">
        <v>0</v>
      </c>
      <c r="O11" s="1000">
        <v>0</v>
      </c>
      <c r="P11" s="1000">
        <v>0</v>
      </c>
      <c r="Q11" s="1000">
        <v>0</v>
      </c>
      <c r="R11" s="1000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1000">
        <v>0</v>
      </c>
      <c r="I12" s="1000">
        <v>0</v>
      </c>
      <c r="J12" s="1000">
        <v>0</v>
      </c>
      <c r="K12" s="1000">
        <v>0</v>
      </c>
      <c r="L12" s="1000">
        <v>0</v>
      </c>
      <c r="M12" s="1000">
        <v>0</v>
      </c>
      <c r="N12" s="1000">
        <v>0</v>
      </c>
      <c r="O12" s="1000">
        <v>0</v>
      </c>
      <c r="P12" s="1000">
        <v>0</v>
      </c>
      <c r="Q12" s="1000">
        <v>0</v>
      </c>
      <c r="R12" s="1000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1000">
        <v>0</v>
      </c>
      <c r="I13" s="1000">
        <v>0</v>
      </c>
      <c r="J13" s="1000">
        <v>0</v>
      </c>
      <c r="K13" s="1000">
        <v>0</v>
      </c>
      <c r="L13" s="1000">
        <v>0</v>
      </c>
      <c r="M13" s="1000">
        <v>0</v>
      </c>
      <c r="N13" s="1000">
        <v>0</v>
      </c>
      <c r="O13" s="1000">
        <v>0</v>
      </c>
      <c r="P13" s="1000">
        <v>0</v>
      </c>
      <c r="Q13" s="1000">
        <v>0</v>
      </c>
      <c r="R13" s="1000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1000">
        <v>0</v>
      </c>
      <c r="I14" s="1000">
        <v>0</v>
      </c>
      <c r="J14" s="1000">
        <v>0</v>
      </c>
      <c r="K14" s="1000">
        <v>0</v>
      </c>
      <c r="L14" s="1000">
        <v>0</v>
      </c>
      <c r="M14" s="1000">
        <v>0</v>
      </c>
      <c r="N14" s="1000">
        <v>0</v>
      </c>
      <c r="O14" s="1000">
        <v>0</v>
      </c>
      <c r="P14" s="1000">
        <v>0</v>
      </c>
      <c r="Q14" s="1000">
        <v>0</v>
      </c>
      <c r="R14" s="1000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1000">
        <v>6451.4539999999997</v>
      </c>
      <c r="I15" s="1000">
        <v>91.093999999999994</v>
      </c>
      <c r="J15" s="1000">
        <v>448.06099999999998</v>
      </c>
      <c r="K15" s="1000">
        <v>331.11599999999999</v>
      </c>
      <c r="L15" s="1000">
        <v>247.53399999999999</v>
      </c>
      <c r="M15" s="1000">
        <v>192</v>
      </c>
      <c r="N15" s="1000">
        <v>713</v>
      </c>
      <c r="O15" s="1000">
        <v>618</v>
      </c>
      <c r="P15" s="1000">
        <v>660</v>
      </c>
      <c r="Q15" s="1000">
        <v>570</v>
      </c>
      <c r="R15" s="1000">
        <v>480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1000">
        <v>0</v>
      </c>
      <c r="I16" s="1000">
        <v>0</v>
      </c>
      <c r="J16" s="1000">
        <v>0</v>
      </c>
      <c r="K16" s="1000">
        <v>0</v>
      </c>
      <c r="L16" s="1000">
        <v>0</v>
      </c>
      <c r="M16" s="1000">
        <v>0</v>
      </c>
      <c r="N16" s="1000">
        <v>0</v>
      </c>
      <c r="O16" s="1000">
        <v>0</v>
      </c>
      <c r="P16" s="1000">
        <v>0</v>
      </c>
      <c r="Q16" s="1000">
        <v>0</v>
      </c>
      <c r="R16" s="1000">
        <v>0</v>
      </c>
    </row>
    <row r="17" spans="1:19" s="1005" customFormat="1" ht="12" x14ac:dyDescent="0.2">
      <c r="A17" s="1001"/>
      <c r="B17" s="2" t="s">
        <v>40</v>
      </c>
      <c r="C17" s="1001" t="s">
        <v>41</v>
      </c>
      <c r="D17" s="1001"/>
      <c r="E17" s="20" t="s">
        <v>14</v>
      </c>
      <c r="F17" s="1002"/>
      <c r="G17" s="1003" t="s">
        <v>42</v>
      </c>
      <c r="H17" s="1004">
        <v>0</v>
      </c>
      <c r="I17" s="1004">
        <v>0</v>
      </c>
      <c r="J17" s="1004">
        <v>0</v>
      </c>
      <c r="K17" s="1004">
        <v>0</v>
      </c>
      <c r="L17" s="1004">
        <v>0</v>
      </c>
      <c r="M17" s="1004">
        <v>0</v>
      </c>
      <c r="N17" s="1004">
        <v>0</v>
      </c>
      <c r="O17" s="1004">
        <v>0</v>
      </c>
      <c r="P17" s="1004">
        <v>0</v>
      </c>
      <c r="Q17" s="1004">
        <v>0</v>
      </c>
      <c r="R17" s="1004">
        <v>0</v>
      </c>
      <c r="S17" s="991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999">
        <f>H19+H27</f>
        <v>6569.0700000000006</v>
      </c>
      <c r="I18" s="999">
        <f t="shared" ref="I18:R18" si="3">I19+I27</f>
        <v>148.16400000000004</v>
      </c>
      <c r="J18" s="999">
        <f t="shared" si="3"/>
        <v>496.83699999999999</v>
      </c>
      <c r="K18" s="999">
        <f t="shared" si="3"/>
        <v>375.58000000000004</v>
      </c>
      <c r="L18" s="999">
        <f t="shared" si="3"/>
        <v>339.24100000000004</v>
      </c>
      <c r="M18" s="999">
        <f t="shared" si="3"/>
        <v>1116</v>
      </c>
      <c r="N18" s="999">
        <f t="shared" si="3"/>
        <v>970</v>
      </c>
      <c r="O18" s="999">
        <f t="shared" si="3"/>
        <v>989</v>
      </c>
      <c r="P18" s="999">
        <f t="shared" si="3"/>
        <v>969</v>
      </c>
      <c r="Q18" s="999">
        <f t="shared" si="3"/>
        <v>919</v>
      </c>
      <c r="R18" s="999">
        <f t="shared" si="3"/>
        <v>899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999">
        <f>SUM(H21:H26)</f>
        <v>301.96999999999997</v>
      </c>
      <c r="I19" s="999">
        <f t="shared" ref="I19:R19" si="4">SUM(I21:I26)</f>
        <v>402.916</v>
      </c>
      <c r="J19" s="999">
        <f t="shared" si="4"/>
        <v>440.21199999999999</v>
      </c>
      <c r="K19" s="999">
        <f t="shared" si="4"/>
        <v>176.745</v>
      </c>
      <c r="L19" s="999">
        <f t="shared" si="4"/>
        <v>202.23700000000002</v>
      </c>
      <c r="M19" s="999">
        <f t="shared" si="4"/>
        <v>347</v>
      </c>
      <c r="N19" s="999">
        <f t="shared" si="4"/>
        <v>201</v>
      </c>
      <c r="O19" s="999">
        <f t="shared" si="4"/>
        <v>220</v>
      </c>
      <c r="P19" s="999">
        <f t="shared" si="4"/>
        <v>200</v>
      </c>
      <c r="Q19" s="999">
        <f t="shared" si="4"/>
        <v>150</v>
      </c>
      <c r="R19" s="999">
        <f t="shared" si="4"/>
        <v>130</v>
      </c>
    </row>
    <row r="20" spans="1:19" s="1008" customFormat="1" ht="12" x14ac:dyDescent="0.2">
      <c r="A20" s="1006"/>
      <c r="B20" s="2" t="s">
        <v>48</v>
      </c>
      <c r="C20" s="1001" t="s">
        <v>49</v>
      </c>
      <c r="D20" s="1001"/>
      <c r="E20" s="20" t="s">
        <v>14</v>
      </c>
      <c r="F20" s="1006"/>
      <c r="G20" s="1003" t="s">
        <v>50</v>
      </c>
      <c r="H20" s="1007">
        <v>294.89400000000001</v>
      </c>
      <c r="I20" s="1007">
        <v>402.916</v>
      </c>
      <c r="J20" s="1007">
        <v>436.32299999999998</v>
      </c>
      <c r="K20" s="1007">
        <v>176.745</v>
      </c>
      <c r="L20" s="1007">
        <v>202.23699999999999</v>
      </c>
      <c r="M20" s="1007">
        <v>246</v>
      </c>
      <c r="N20" s="1007">
        <v>201</v>
      </c>
      <c r="O20" s="1007">
        <v>0</v>
      </c>
      <c r="P20" s="1007">
        <v>0</v>
      </c>
      <c r="Q20" s="1007">
        <v>0</v>
      </c>
      <c r="R20" s="1007">
        <v>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1000">
        <f>73.325+24.011+193.936</f>
        <v>291.27199999999999</v>
      </c>
      <c r="I21" s="1000">
        <f>136.748+11.884+247.289</f>
        <v>395.92099999999999</v>
      </c>
      <c r="J21" s="1000">
        <f>285.901+7.743+141.625</f>
        <v>435.26900000000001</v>
      </c>
      <c r="K21" s="1000">
        <f>57.469+11.14+104.247</f>
        <v>172.85599999999999</v>
      </c>
      <c r="L21" s="1000">
        <f>63.517+13.079+125.641</f>
        <v>202.23700000000002</v>
      </c>
      <c r="M21" s="1000">
        <v>343</v>
      </c>
      <c r="N21" s="1000">
        <v>201</v>
      </c>
      <c r="O21" s="1000">
        <v>220</v>
      </c>
      <c r="P21" s="1000">
        <v>200</v>
      </c>
      <c r="Q21" s="1000">
        <v>150</v>
      </c>
      <c r="R21" s="1000">
        <v>130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1000">
        <v>0</v>
      </c>
      <c r="I22" s="1000">
        <v>0</v>
      </c>
      <c r="J22" s="1000">
        <v>0</v>
      </c>
      <c r="K22" s="1000">
        <v>0</v>
      </c>
      <c r="L22" s="1000">
        <v>0</v>
      </c>
      <c r="M22" s="1000">
        <v>0</v>
      </c>
      <c r="N22" s="1000">
        <v>0</v>
      </c>
      <c r="O22" s="1000">
        <v>0</v>
      </c>
      <c r="P22" s="1000">
        <v>0</v>
      </c>
      <c r="Q22" s="1000">
        <v>0</v>
      </c>
      <c r="R22" s="1000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1000">
        <v>0</v>
      </c>
      <c r="I23" s="1000">
        <v>0</v>
      </c>
      <c r="J23" s="1000">
        <v>0</v>
      </c>
      <c r="K23" s="1000">
        <v>0</v>
      </c>
      <c r="L23" s="1000">
        <v>0</v>
      </c>
      <c r="M23" s="1000">
        <v>0</v>
      </c>
      <c r="N23" s="1000">
        <v>0</v>
      </c>
      <c r="O23" s="1000">
        <v>0</v>
      </c>
      <c r="P23" s="1000">
        <v>0</v>
      </c>
      <c r="Q23" s="1000">
        <v>0</v>
      </c>
      <c r="R23" s="1000">
        <v>0</v>
      </c>
    </row>
    <row r="24" spans="1:19" ht="12" x14ac:dyDescent="0.2">
      <c r="A24" s="1009"/>
      <c r="B24" s="2" t="s">
        <v>59</v>
      </c>
      <c r="C24" s="19" t="s">
        <v>60</v>
      </c>
      <c r="E24" s="20" t="s">
        <v>14</v>
      </c>
      <c r="F24" s="1009"/>
      <c r="G24" s="18" t="s">
        <v>61</v>
      </c>
      <c r="H24" s="1000">
        <f>3.623+7.075</f>
        <v>10.698</v>
      </c>
      <c r="I24" s="1000">
        <v>6.9950000000000001</v>
      </c>
      <c r="J24" s="1000">
        <f>1.054+3.889</f>
        <v>4.9429999999999996</v>
      </c>
      <c r="K24" s="1000">
        <f>3.889</f>
        <v>3.8889999999999998</v>
      </c>
      <c r="L24" s="1000">
        <v>0</v>
      </c>
      <c r="M24" s="1000">
        <v>4</v>
      </c>
      <c r="N24" s="1000">
        <v>0</v>
      </c>
      <c r="O24" s="1000">
        <v>0</v>
      </c>
      <c r="P24" s="1000">
        <v>0</v>
      </c>
      <c r="Q24" s="1000">
        <v>0</v>
      </c>
      <c r="R24" s="1000">
        <v>0</v>
      </c>
    </row>
    <row r="25" spans="1:19" ht="12" x14ac:dyDescent="0.2">
      <c r="A25" s="1009"/>
      <c r="B25" s="2" t="s">
        <v>62</v>
      </c>
      <c r="C25" s="19" t="s">
        <v>63</v>
      </c>
      <c r="E25" s="20" t="s">
        <v>14</v>
      </c>
      <c r="F25" s="1009"/>
      <c r="G25" s="18" t="s">
        <v>64</v>
      </c>
      <c r="H25" s="1000">
        <v>0</v>
      </c>
      <c r="I25" s="1000">
        <v>0</v>
      </c>
      <c r="J25" s="1000">
        <v>0</v>
      </c>
      <c r="K25" s="1000">
        <v>0</v>
      </c>
      <c r="L25" s="1000">
        <v>0</v>
      </c>
      <c r="M25" s="1000">
        <v>0</v>
      </c>
      <c r="N25" s="1000">
        <v>0</v>
      </c>
      <c r="O25" s="1000">
        <v>0</v>
      </c>
      <c r="P25" s="1000">
        <v>0</v>
      </c>
      <c r="Q25" s="1000">
        <v>0</v>
      </c>
      <c r="R25" s="1000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1000">
        <v>0</v>
      </c>
      <c r="I26" s="1000">
        <v>0</v>
      </c>
      <c r="J26" s="1000">
        <v>0</v>
      </c>
      <c r="K26" s="1000">
        <v>0</v>
      </c>
      <c r="L26" s="1000">
        <v>0</v>
      </c>
      <c r="M26" s="1000">
        <v>0</v>
      </c>
      <c r="N26" s="1000">
        <v>0</v>
      </c>
      <c r="O26" s="1000">
        <v>0</v>
      </c>
      <c r="P26" s="1000">
        <v>0</v>
      </c>
      <c r="Q26" s="1000">
        <v>0</v>
      </c>
      <c r="R26" s="1000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999">
        <f>SUM(H28:H30)</f>
        <v>6267.1</v>
      </c>
      <c r="I27" s="999">
        <f t="shared" ref="I27:R27" si="5">SUM(I28:I30)</f>
        <v>-254.75199999999995</v>
      </c>
      <c r="J27" s="999">
        <f t="shared" si="5"/>
        <v>56.625</v>
      </c>
      <c r="K27" s="999">
        <f t="shared" si="5"/>
        <v>198.83500000000001</v>
      </c>
      <c r="L27" s="999">
        <f t="shared" si="5"/>
        <v>137.00400000000002</v>
      </c>
      <c r="M27" s="999">
        <f t="shared" si="5"/>
        <v>769</v>
      </c>
      <c r="N27" s="999">
        <f t="shared" si="5"/>
        <v>769</v>
      </c>
      <c r="O27" s="999">
        <f t="shared" si="5"/>
        <v>769</v>
      </c>
      <c r="P27" s="999">
        <f t="shared" si="5"/>
        <v>769</v>
      </c>
      <c r="Q27" s="999">
        <f t="shared" si="5"/>
        <v>769</v>
      </c>
      <c r="R27" s="999">
        <f t="shared" si="5"/>
        <v>769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1000">
        <v>7583.92</v>
      </c>
      <c r="I28" s="1000">
        <v>1053.7</v>
      </c>
      <c r="J28" s="1000">
        <v>531.13099999999997</v>
      </c>
      <c r="K28" s="1000">
        <v>531.13099999999997</v>
      </c>
      <c r="L28" s="1000">
        <v>531.13099999999997</v>
      </c>
      <c r="M28" s="1000">
        <v>531</v>
      </c>
      <c r="N28" s="1000">
        <v>531</v>
      </c>
      <c r="O28" s="1000">
        <v>531</v>
      </c>
      <c r="P28" s="1000">
        <v>531</v>
      </c>
      <c r="Q28" s="1000">
        <v>531</v>
      </c>
      <c r="R28" s="1000">
        <v>531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1000">
        <v>0</v>
      </c>
      <c r="I29" s="1000">
        <v>0</v>
      </c>
      <c r="J29" s="1000">
        <v>0</v>
      </c>
      <c r="K29" s="1000">
        <f>J29+J30</f>
        <v>-474.50599999999997</v>
      </c>
      <c r="L29" s="1000">
        <f>K29+K30</f>
        <v>-332.29599999999994</v>
      </c>
      <c r="M29" s="1000">
        <v>-394</v>
      </c>
      <c r="N29" s="1000">
        <v>238</v>
      </c>
      <c r="O29" s="1000">
        <v>238</v>
      </c>
      <c r="P29" s="1000">
        <v>238</v>
      </c>
      <c r="Q29" s="1000">
        <v>238</v>
      </c>
      <c r="R29" s="1000">
        <v>238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1000">
        <v>-1316.82</v>
      </c>
      <c r="I30" s="1000">
        <v>-1308.452</v>
      </c>
      <c r="J30" s="1000">
        <v>-474.50599999999997</v>
      </c>
      <c r="K30" s="1000">
        <v>142.21</v>
      </c>
      <c r="L30" s="1000">
        <v>-61.831000000000003</v>
      </c>
      <c r="M30" s="1000">
        <v>632</v>
      </c>
      <c r="N30" s="1000">
        <v>0</v>
      </c>
      <c r="O30" s="1000">
        <v>0</v>
      </c>
      <c r="P30" s="1000">
        <v>0</v>
      </c>
      <c r="Q30" s="1000">
        <v>0</v>
      </c>
      <c r="R30" s="1000">
        <v>0</v>
      </c>
    </row>
    <row r="31" spans="1:19" s="1015" customFormat="1" x14ac:dyDescent="0.2">
      <c r="A31" s="1010"/>
      <c r="B31" s="10"/>
      <c r="C31" s="1011"/>
      <c r="D31" s="1011"/>
      <c r="E31" s="1012"/>
      <c r="F31" s="1010"/>
      <c r="G31" s="1013" t="s">
        <v>77</v>
      </c>
      <c r="H31" s="1014">
        <f t="shared" ref="H31:R31" si="6">H4-H18</f>
        <v>0</v>
      </c>
      <c r="I31" s="1014">
        <f t="shared" si="6"/>
        <v>0</v>
      </c>
      <c r="J31" s="1014">
        <f t="shared" si="6"/>
        <v>-1.0000000000331966E-3</v>
      </c>
      <c r="K31" s="1014">
        <f t="shared" si="6"/>
        <v>-1.00000000009004E-3</v>
      </c>
      <c r="L31" s="1014">
        <f t="shared" si="6"/>
        <v>-2.0000000000663931E-3</v>
      </c>
      <c r="M31" s="1014">
        <f t="shared" si="6"/>
        <v>0</v>
      </c>
      <c r="N31" s="1014">
        <f t="shared" si="6"/>
        <v>0</v>
      </c>
      <c r="O31" s="1014">
        <f t="shared" si="6"/>
        <v>0</v>
      </c>
      <c r="P31" s="1014">
        <f t="shared" si="6"/>
        <v>0</v>
      </c>
      <c r="Q31" s="1014">
        <f t="shared" si="6"/>
        <v>0</v>
      </c>
      <c r="R31" s="1014">
        <f t="shared" si="6"/>
        <v>0</v>
      </c>
      <c r="S31" s="991"/>
    </row>
    <row r="32" spans="1:19" x14ac:dyDescent="0.2">
      <c r="G32" s="996" t="s">
        <v>78</v>
      </c>
      <c r="H32" s="1016">
        <v>2011</v>
      </c>
      <c r="I32" s="1016">
        <f t="shared" ref="I32:R32" si="7">H32+1</f>
        <v>2012</v>
      </c>
      <c r="J32" s="1016">
        <f t="shared" si="7"/>
        <v>2013</v>
      </c>
      <c r="K32" s="1016">
        <f t="shared" si="7"/>
        <v>2014</v>
      </c>
      <c r="L32" s="1016">
        <f t="shared" si="7"/>
        <v>2015</v>
      </c>
      <c r="M32" s="1016">
        <f t="shared" si="7"/>
        <v>2016</v>
      </c>
      <c r="N32" s="1016">
        <f t="shared" si="7"/>
        <v>2017</v>
      </c>
      <c r="O32" s="1016">
        <f t="shared" si="7"/>
        <v>2018</v>
      </c>
      <c r="P32" s="1016">
        <f t="shared" si="7"/>
        <v>2019</v>
      </c>
      <c r="Q32" s="1016">
        <f t="shared" si="7"/>
        <v>2020</v>
      </c>
      <c r="R32" s="1016">
        <f t="shared" si="7"/>
        <v>2021</v>
      </c>
    </row>
    <row r="33" spans="1:18" x14ac:dyDescent="0.2">
      <c r="B33" s="2" t="s">
        <v>79</v>
      </c>
      <c r="C33" s="19">
        <v>3</v>
      </c>
      <c r="G33" s="998" t="s">
        <v>80</v>
      </c>
      <c r="H33" s="999">
        <f>SUM(H34:H37)</f>
        <v>768.02200000000005</v>
      </c>
      <c r="I33" s="999">
        <f t="shared" ref="I33:R33" si="8">SUM(I34:I37)</f>
        <v>996.30099999999993</v>
      </c>
      <c r="J33" s="999">
        <f t="shared" si="8"/>
        <v>2074.3380000000002</v>
      </c>
      <c r="K33" s="999">
        <f t="shared" si="8"/>
        <v>2481.6</v>
      </c>
      <c r="L33" s="999">
        <f t="shared" si="8"/>
        <v>2603.1509999999998</v>
      </c>
      <c r="M33" s="999">
        <f t="shared" si="8"/>
        <v>3468</v>
      </c>
      <c r="N33" s="999">
        <f t="shared" si="8"/>
        <v>3344</v>
      </c>
      <c r="O33" s="999">
        <f t="shared" si="8"/>
        <v>3607</v>
      </c>
      <c r="P33" s="999">
        <f t="shared" si="8"/>
        <v>3779</v>
      </c>
      <c r="Q33" s="999">
        <f t="shared" si="8"/>
        <v>4017</v>
      </c>
      <c r="R33" s="999">
        <f t="shared" si="8"/>
        <v>4230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1000">
        <v>0</v>
      </c>
      <c r="I34" s="1000">
        <v>0</v>
      </c>
      <c r="J34" s="1000">
        <v>0</v>
      </c>
      <c r="K34" s="1000">
        <v>0</v>
      </c>
      <c r="L34" s="1000">
        <v>0</v>
      </c>
      <c r="M34" s="1000">
        <v>0</v>
      </c>
      <c r="N34" s="1000">
        <v>0</v>
      </c>
      <c r="O34" s="1000">
        <v>0</v>
      </c>
      <c r="P34" s="1000">
        <v>0</v>
      </c>
      <c r="Q34" s="1000">
        <v>0</v>
      </c>
      <c r="R34" s="1000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1000">
        <v>571.42100000000005</v>
      </c>
      <c r="I35" s="1000">
        <v>797.13199999999995</v>
      </c>
      <c r="J35" s="1000">
        <v>862.57100000000003</v>
      </c>
      <c r="K35" s="1000">
        <v>612.62</v>
      </c>
      <c r="L35" s="1000">
        <v>650.02200000000005</v>
      </c>
      <c r="M35" s="1000">
        <v>647</v>
      </c>
      <c r="N35" s="1000">
        <v>809</v>
      </c>
      <c r="O35" s="1000">
        <v>945</v>
      </c>
      <c r="P35" s="1000">
        <v>993</v>
      </c>
      <c r="Q35" s="1000">
        <v>1000</v>
      </c>
      <c r="R35" s="1000">
        <v>1030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1000">
        <v>196.601</v>
      </c>
      <c r="I36" s="1000">
        <v>199.16900000000001</v>
      </c>
      <c r="J36" s="1000">
        <v>1211.7670000000001</v>
      </c>
      <c r="K36" s="1000">
        <v>1868.98</v>
      </c>
      <c r="L36" s="1000">
        <v>1949.837</v>
      </c>
      <c r="M36" s="1000">
        <v>2821</v>
      </c>
      <c r="N36" s="1000">
        <v>2535</v>
      </c>
      <c r="O36" s="1000">
        <v>2662</v>
      </c>
      <c r="P36" s="1000">
        <v>2786</v>
      </c>
      <c r="Q36" s="1000">
        <v>3017</v>
      </c>
      <c r="R36" s="1000">
        <v>3200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1000">
        <v>0</v>
      </c>
      <c r="I37" s="1000">
        <v>0</v>
      </c>
      <c r="J37" s="1000">
        <v>0</v>
      </c>
      <c r="K37" s="1000">
        <v>0</v>
      </c>
      <c r="L37" s="1000">
        <v>3.2919999999999998</v>
      </c>
      <c r="M37" s="1000">
        <v>0</v>
      </c>
      <c r="N37" s="1000">
        <v>0</v>
      </c>
      <c r="O37" s="1000">
        <v>0</v>
      </c>
      <c r="P37" s="1000">
        <v>0</v>
      </c>
      <c r="Q37" s="1000">
        <v>0</v>
      </c>
      <c r="R37" s="1000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999">
        <f>H39+H40</f>
        <v>0</v>
      </c>
      <c r="I38" s="999">
        <f t="shared" ref="I38:R38" si="9">I39+I40</f>
        <v>0</v>
      </c>
      <c r="J38" s="999">
        <f t="shared" si="9"/>
        <v>-324.005</v>
      </c>
      <c r="K38" s="999">
        <f t="shared" si="9"/>
        <v>0</v>
      </c>
      <c r="L38" s="999">
        <f t="shared" si="9"/>
        <v>0</v>
      </c>
      <c r="M38" s="999">
        <f t="shared" si="9"/>
        <v>0</v>
      </c>
      <c r="N38" s="999">
        <f t="shared" si="9"/>
        <v>0</v>
      </c>
      <c r="O38" s="999">
        <f t="shared" si="9"/>
        <v>0</v>
      </c>
      <c r="P38" s="999">
        <f t="shared" si="9"/>
        <v>0</v>
      </c>
      <c r="Q38" s="999">
        <f t="shared" si="9"/>
        <v>0</v>
      </c>
      <c r="R38" s="999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1000">
        <v>0</v>
      </c>
      <c r="I39" s="1000">
        <v>0</v>
      </c>
      <c r="J39" s="1000">
        <v>0</v>
      </c>
      <c r="K39" s="1000">
        <v>0</v>
      </c>
      <c r="L39" s="1000">
        <v>0</v>
      </c>
      <c r="M39" s="1000">
        <v>0</v>
      </c>
      <c r="N39" s="1000">
        <v>0</v>
      </c>
      <c r="O39" s="1000">
        <v>0</v>
      </c>
      <c r="P39" s="1000">
        <v>0</v>
      </c>
      <c r="Q39" s="1000">
        <v>0</v>
      </c>
      <c r="R39" s="1000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1000">
        <v>0</v>
      </c>
      <c r="I40" s="1000">
        <v>0</v>
      </c>
      <c r="J40" s="1000">
        <v>-324.005</v>
      </c>
      <c r="K40" s="1000">
        <v>0</v>
      </c>
      <c r="L40" s="1000">
        <v>0</v>
      </c>
      <c r="M40" s="1000">
        <v>0</v>
      </c>
      <c r="N40" s="1000">
        <v>0</v>
      </c>
      <c r="O40" s="1000">
        <v>0</v>
      </c>
      <c r="P40" s="1000">
        <v>0</v>
      </c>
      <c r="Q40" s="1000">
        <v>0</v>
      </c>
      <c r="R40" s="1000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999">
        <f>SUM(H42:H45)</f>
        <v>-2084.0060000000003</v>
      </c>
      <c r="I41" s="999">
        <f t="shared" ref="I41:R41" si="10">SUM(I42:I45)</f>
        <v>-2304.2129999999997</v>
      </c>
      <c r="J41" s="999">
        <f t="shared" si="10"/>
        <v>-2224.7350000000001</v>
      </c>
      <c r="K41" s="999">
        <f t="shared" si="10"/>
        <v>-2339.2849999999999</v>
      </c>
      <c r="L41" s="999">
        <f t="shared" si="10"/>
        <v>-2665.5070000000001</v>
      </c>
      <c r="M41" s="999">
        <f t="shared" si="10"/>
        <v>-2835</v>
      </c>
      <c r="N41" s="999">
        <f t="shared" si="10"/>
        <v>-3342</v>
      </c>
      <c r="O41" s="999">
        <f t="shared" si="10"/>
        <v>-3605</v>
      </c>
      <c r="P41" s="999">
        <f t="shared" si="10"/>
        <v>-3776</v>
      </c>
      <c r="Q41" s="999">
        <f t="shared" si="10"/>
        <v>-4017</v>
      </c>
      <c r="R41" s="999">
        <f t="shared" si="10"/>
        <v>-4230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1000">
        <v>-1030.873</v>
      </c>
      <c r="I42" s="1000">
        <v>-1114.9659999999999</v>
      </c>
      <c r="J42" s="1000">
        <v>-1130.4100000000001</v>
      </c>
      <c r="K42" s="1000">
        <v>-1112.6959999999999</v>
      </c>
      <c r="L42" s="1000">
        <v>-1341.9090000000001</v>
      </c>
      <c r="M42" s="1000">
        <v>-1389</v>
      </c>
      <c r="N42" s="1000">
        <v>-1651</v>
      </c>
      <c r="O42" s="1000">
        <v>-1734</v>
      </c>
      <c r="P42" s="1000">
        <v>-1821</v>
      </c>
      <c r="Q42" s="1000">
        <v>-1913</v>
      </c>
      <c r="R42" s="1000">
        <v>-2066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1000">
        <v>-637.19500000000005</v>
      </c>
      <c r="I43" s="1000">
        <v>-810.82100000000003</v>
      </c>
      <c r="J43" s="1000">
        <v>-974.06600000000003</v>
      </c>
      <c r="K43" s="1000">
        <v>-1100.0920000000001</v>
      </c>
      <c r="L43" s="1000">
        <v>-1202.819</v>
      </c>
      <c r="M43" s="1000">
        <v>-1379</v>
      </c>
      <c r="N43" s="1000">
        <v>-1612</v>
      </c>
      <c r="O43" s="1000">
        <v>-1776</v>
      </c>
      <c r="P43" s="1000">
        <v>-1865</v>
      </c>
      <c r="Q43" s="1000">
        <v>-2014</v>
      </c>
      <c r="R43" s="1000">
        <v>-2074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1000">
        <v>-5.4820000000000002</v>
      </c>
      <c r="I44" s="1000">
        <v>-7.766</v>
      </c>
      <c r="J44" s="1000">
        <v>-8.43</v>
      </c>
      <c r="K44" s="1000">
        <v>-9.5510000000000002</v>
      </c>
      <c r="L44" s="1000">
        <v>-1.518</v>
      </c>
      <c r="M44" s="1000">
        <v>-1</v>
      </c>
      <c r="N44" s="1000">
        <v>0</v>
      </c>
      <c r="O44" s="1000">
        <v>0</v>
      </c>
      <c r="P44" s="1000">
        <v>0</v>
      </c>
      <c r="Q44" s="1000">
        <v>0</v>
      </c>
      <c r="R44" s="1000">
        <v>0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1000">
        <v>-410.45600000000002</v>
      </c>
      <c r="I45" s="1000">
        <v>-370.66</v>
      </c>
      <c r="J45" s="1000">
        <v>-111.82899999999999</v>
      </c>
      <c r="K45" s="1000">
        <v>-116.946</v>
      </c>
      <c r="L45" s="1000">
        <v>-119.261</v>
      </c>
      <c r="M45" s="1000">
        <v>-66</v>
      </c>
      <c r="N45" s="1000">
        <v>-79</v>
      </c>
      <c r="O45" s="1000">
        <v>-95</v>
      </c>
      <c r="P45" s="1000">
        <v>-90</v>
      </c>
      <c r="Q45" s="1000">
        <v>-90</v>
      </c>
      <c r="R45" s="1000">
        <v>-90</v>
      </c>
    </row>
    <row r="46" spans="1:18" x14ac:dyDescent="0.2">
      <c r="B46" s="2" t="s">
        <v>107</v>
      </c>
      <c r="G46" s="18" t="s">
        <v>108</v>
      </c>
      <c r="H46" s="999">
        <f>H33+H38+H41</f>
        <v>-1315.9840000000004</v>
      </c>
      <c r="I46" s="999">
        <f t="shared" ref="I46:R46" si="11">I33+I38+I41</f>
        <v>-1307.9119999999998</v>
      </c>
      <c r="J46" s="999">
        <f t="shared" si="11"/>
        <v>-474.40200000000004</v>
      </c>
      <c r="K46" s="999">
        <f t="shared" si="11"/>
        <v>142.31500000000005</v>
      </c>
      <c r="L46" s="999">
        <f t="shared" si="11"/>
        <v>-62.356000000000222</v>
      </c>
      <c r="M46" s="999">
        <f t="shared" si="11"/>
        <v>633</v>
      </c>
      <c r="N46" s="999">
        <f t="shared" si="11"/>
        <v>2</v>
      </c>
      <c r="O46" s="999">
        <f t="shared" si="11"/>
        <v>2</v>
      </c>
      <c r="P46" s="999">
        <f t="shared" si="11"/>
        <v>3</v>
      </c>
      <c r="Q46" s="999">
        <f t="shared" si="11"/>
        <v>0</v>
      </c>
      <c r="R46" s="999">
        <f t="shared" si="11"/>
        <v>0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1000">
        <v>-0.83699999999999997</v>
      </c>
      <c r="I47" s="1000">
        <v>-0.53800000000000003</v>
      </c>
      <c r="J47" s="1000">
        <v>-0.104</v>
      </c>
      <c r="K47" s="1000">
        <v>-0.105</v>
      </c>
      <c r="L47" s="1000">
        <v>0.52500000000000002</v>
      </c>
      <c r="M47" s="1000">
        <v>-1</v>
      </c>
      <c r="N47" s="1000">
        <v>-2</v>
      </c>
      <c r="O47" s="1000">
        <v>-2</v>
      </c>
      <c r="P47" s="1000">
        <v>-3</v>
      </c>
      <c r="Q47" s="1000">
        <v>0</v>
      </c>
      <c r="R47" s="1000">
        <v>0</v>
      </c>
    </row>
    <row r="48" spans="1:18" x14ac:dyDescent="0.2">
      <c r="B48" s="2" t="s">
        <v>111</v>
      </c>
      <c r="G48" s="18" t="s">
        <v>112</v>
      </c>
      <c r="H48" s="999">
        <f>H46+H47</f>
        <v>-1316.8210000000004</v>
      </c>
      <c r="I48" s="999">
        <f t="shared" ref="I48:R48" si="12">I46+I47</f>
        <v>-1308.4499999999998</v>
      </c>
      <c r="J48" s="999">
        <f t="shared" si="12"/>
        <v>-474.50600000000003</v>
      </c>
      <c r="K48" s="999">
        <f t="shared" si="12"/>
        <v>142.21000000000006</v>
      </c>
      <c r="L48" s="999">
        <f t="shared" si="12"/>
        <v>-61.831000000000223</v>
      </c>
      <c r="M48" s="999">
        <f t="shared" si="12"/>
        <v>632</v>
      </c>
      <c r="N48" s="999">
        <f t="shared" si="12"/>
        <v>0</v>
      </c>
      <c r="O48" s="999">
        <f t="shared" si="12"/>
        <v>0</v>
      </c>
      <c r="P48" s="999">
        <f t="shared" si="12"/>
        <v>0</v>
      </c>
      <c r="Q48" s="999">
        <f t="shared" si="12"/>
        <v>0</v>
      </c>
      <c r="R48" s="999">
        <f t="shared" si="12"/>
        <v>0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1000">
        <v>0</v>
      </c>
      <c r="I49" s="1000">
        <v>0</v>
      </c>
      <c r="J49" s="1000">
        <v>0</v>
      </c>
      <c r="K49" s="1000">
        <v>0</v>
      </c>
      <c r="L49" s="1000">
        <v>0</v>
      </c>
      <c r="M49" s="1000">
        <v>0</v>
      </c>
      <c r="N49" s="1000">
        <v>0</v>
      </c>
      <c r="O49" s="1000">
        <v>0</v>
      </c>
      <c r="P49" s="1000">
        <v>0</v>
      </c>
      <c r="Q49" s="1000">
        <v>0</v>
      </c>
      <c r="R49" s="1000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1000">
        <v>0</v>
      </c>
      <c r="I50" s="1000">
        <v>0</v>
      </c>
      <c r="J50" s="1000">
        <v>0</v>
      </c>
      <c r="K50" s="1000">
        <v>0</v>
      </c>
      <c r="L50" s="1000">
        <v>0</v>
      </c>
      <c r="M50" s="1000">
        <v>0</v>
      </c>
      <c r="N50" s="1000">
        <v>0</v>
      </c>
      <c r="O50" s="1000">
        <v>0</v>
      </c>
      <c r="P50" s="1000">
        <v>0</v>
      </c>
      <c r="Q50" s="1000">
        <v>0</v>
      </c>
      <c r="R50" s="1000">
        <v>0</v>
      </c>
    </row>
    <row r="51" spans="1:18" x14ac:dyDescent="0.2">
      <c r="B51" s="2" t="s">
        <v>117</v>
      </c>
      <c r="G51" s="18" t="s">
        <v>118</v>
      </c>
      <c r="H51" s="999">
        <f>H48+H49+H50</f>
        <v>-1316.8210000000004</v>
      </c>
      <c r="I51" s="999">
        <f t="shared" ref="I51:R51" si="13">I48+I49+I50</f>
        <v>-1308.4499999999998</v>
      </c>
      <c r="J51" s="999">
        <f t="shared" si="13"/>
        <v>-474.50600000000003</v>
      </c>
      <c r="K51" s="999">
        <f t="shared" si="13"/>
        <v>142.21000000000006</v>
      </c>
      <c r="L51" s="999">
        <f t="shared" si="13"/>
        <v>-61.831000000000223</v>
      </c>
      <c r="M51" s="999">
        <f t="shared" si="13"/>
        <v>632</v>
      </c>
      <c r="N51" s="999">
        <f t="shared" si="13"/>
        <v>0</v>
      </c>
      <c r="O51" s="999">
        <f t="shared" si="13"/>
        <v>0</v>
      </c>
      <c r="P51" s="999">
        <f t="shared" si="13"/>
        <v>0</v>
      </c>
      <c r="Q51" s="999">
        <f t="shared" si="13"/>
        <v>0</v>
      </c>
      <c r="R51" s="999">
        <f t="shared" si="13"/>
        <v>0</v>
      </c>
    </row>
    <row r="52" spans="1:18" x14ac:dyDescent="0.2">
      <c r="A52" s="1017"/>
      <c r="C52" s="1018"/>
      <c r="D52" s="1018"/>
      <c r="E52" s="1019"/>
      <c r="F52" s="1017"/>
      <c r="G52" s="1013" t="s">
        <v>119</v>
      </c>
      <c r="H52" s="1014">
        <f>H30-H51</f>
        <v>1.0000000004311005E-3</v>
      </c>
      <c r="I52" s="1014">
        <f t="shared" ref="I52:R52" si="14">I30-I51</f>
        <v>-2.00000000018008E-3</v>
      </c>
      <c r="J52" s="1014">
        <f t="shared" si="14"/>
        <v>0</v>
      </c>
      <c r="K52" s="1014">
        <f t="shared" si="14"/>
        <v>0</v>
      </c>
      <c r="L52" s="1014">
        <f t="shared" si="14"/>
        <v>2.2026824808563106E-13</v>
      </c>
      <c r="M52" s="1014">
        <f t="shared" si="14"/>
        <v>0</v>
      </c>
      <c r="N52" s="1014">
        <f t="shared" si="14"/>
        <v>0</v>
      </c>
      <c r="O52" s="1014">
        <f t="shared" si="14"/>
        <v>0</v>
      </c>
      <c r="P52" s="1014">
        <f t="shared" si="14"/>
        <v>0</v>
      </c>
      <c r="Q52" s="1014">
        <f t="shared" si="14"/>
        <v>0</v>
      </c>
      <c r="R52" s="1014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1000">
        <v>81</v>
      </c>
      <c r="I54" s="1000">
        <v>86</v>
      </c>
      <c r="J54" s="1000">
        <v>74</v>
      </c>
      <c r="K54" s="1000">
        <v>82</v>
      </c>
      <c r="L54" s="1000">
        <v>77</v>
      </c>
      <c r="M54" s="1000">
        <v>0</v>
      </c>
      <c r="N54" s="1000">
        <v>0</v>
      </c>
      <c r="O54" s="1000">
        <v>0</v>
      </c>
      <c r="P54" s="1000">
        <v>0</v>
      </c>
      <c r="Q54" s="1000">
        <v>0</v>
      </c>
      <c r="R54" s="1000">
        <v>0</v>
      </c>
    </row>
    <row r="55" spans="1:18" ht="12" x14ac:dyDescent="0.2">
      <c r="E55" s="20" t="s">
        <v>14</v>
      </c>
      <c r="G55" s="46" t="s">
        <v>122</v>
      </c>
      <c r="H55" s="1000"/>
      <c r="I55" s="1000"/>
      <c r="J55" s="1000"/>
      <c r="K55" s="1000"/>
      <c r="L55" s="1020"/>
      <c r="M55" s="1020"/>
      <c r="N55" s="1020"/>
      <c r="O55" s="1020"/>
      <c r="P55" s="1020"/>
      <c r="Q55" s="1020"/>
      <c r="R55" s="1020"/>
    </row>
    <row r="57" spans="1:18" x14ac:dyDescent="0.2">
      <c r="D57" s="49" t="s">
        <v>123</v>
      </c>
      <c r="E57" s="50" t="s">
        <v>3</v>
      </c>
      <c r="F57" s="17"/>
      <c r="G57" s="996" t="s">
        <v>124</v>
      </c>
      <c r="H57" s="1016">
        <f>H32</f>
        <v>2011</v>
      </c>
      <c r="I57" s="1016">
        <f t="shared" ref="I57:R57" si="15">I32</f>
        <v>2012</v>
      </c>
      <c r="J57" s="1016">
        <f t="shared" si="15"/>
        <v>2013</v>
      </c>
      <c r="K57" s="1016">
        <f t="shared" si="15"/>
        <v>2014</v>
      </c>
      <c r="L57" s="1016">
        <f t="shared" si="15"/>
        <v>2015</v>
      </c>
      <c r="M57" s="1016">
        <f t="shared" si="15"/>
        <v>2016</v>
      </c>
      <c r="N57" s="1016">
        <f t="shared" si="15"/>
        <v>2017</v>
      </c>
      <c r="O57" s="1016">
        <f t="shared" si="15"/>
        <v>2018</v>
      </c>
      <c r="P57" s="1016">
        <f t="shared" si="15"/>
        <v>2019</v>
      </c>
      <c r="Q57" s="1016">
        <f t="shared" si="15"/>
        <v>2020</v>
      </c>
      <c r="R57" s="1016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998" t="s">
        <v>128</v>
      </c>
      <c r="H58" s="1000">
        <v>0</v>
      </c>
      <c r="I58" s="1000">
        <v>-3.8330000000000002</v>
      </c>
      <c r="J58" s="1000">
        <v>-16.475999999999999</v>
      </c>
      <c r="K58" s="1000">
        <v>0</v>
      </c>
      <c r="L58" s="1000">
        <v>-35.68</v>
      </c>
      <c r="M58" s="1000">
        <v>-10</v>
      </c>
      <c r="N58" s="1000">
        <v>0</v>
      </c>
      <c r="O58" s="1000">
        <v>0</v>
      </c>
      <c r="P58" s="1000">
        <v>0</v>
      </c>
      <c r="Q58" s="1000">
        <v>0</v>
      </c>
      <c r="R58" s="1000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1000">
        <v>0</v>
      </c>
      <c r="I59" s="1000">
        <v>0</v>
      </c>
      <c r="J59" s="1000">
        <v>0</v>
      </c>
      <c r="K59" s="1000">
        <v>0</v>
      </c>
      <c r="L59" s="1000">
        <v>3.2919999999999998</v>
      </c>
      <c r="M59" s="1000">
        <v>0</v>
      </c>
      <c r="N59" s="1000">
        <v>0</v>
      </c>
      <c r="O59" s="1000">
        <v>0</v>
      </c>
      <c r="P59" s="1000">
        <v>0</v>
      </c>
      <c r="Q59" s="1000">
        <v>0</v>
      </c>
      <c r="R59" s="1000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1000">
        <v>878.32299999999998</v>
      </c>
      <c r="I60" s="1000">
        <v>0</v>
      </c>
      <c r="J60" s="1000">
        <v>28.164999999999999</v>
      </c>
      <c r="K60" s="1000">
        <v>0</v>
      </c>
      <c r="L60" s="1000">
        <v>0</v>
      </c>
      <c r="M60" s="1000">
        <v>0</v>
      </c>
      <c r="N60" s="1000">
        <v>0</v>
      </c>
      <c r="O60" s="1000">
        <v>0</v>
      </c>
      <c r="P60" s="1000">
        <v>0</v>
      </c>
      <c r="Q60" s="1000">
        <v>0</v>
      </c>
      <c r="R60" s="1000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1000">
        <v>0</v>
      </c>
      <c r="I61" s="1000">
        <v>0</v>
      </c>
      <c r="J61" s="1000">
        <v>0</v>
      </c>
      <c r="K61" s="1000">
        <v>0</v>
      </c>
      <c r="L61" s="1000">
        <v>0</v>
      </c>
      <c r="M61" s="1000">
        <v>0</v>
      </c>
      <c r="N61" s="1000">
        <v>0</v>
      </c>
      <c r="O61" s="1000">
        <v>0</v>
      </c>
      <c r="P61" s="1000">
        <v>0</v>
      </c>
      <c r="Q61" s="1000">
        <v>0</v>
      </c>
      <c r="R61" s="1000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1000">
        <v>0</v>
      </c>
      <c r="I62" s="1000">
        <v>0</v>
      </c>
      <c r="J62" s="1000">
        <v>0</v>
      </c>
      <c r="K62" s="1000">
        <v>0</v>
      </c>
      <c r="L62" s="1000">
        <v>0</v>
      </c>
      <c r="M62" s="1000">
        <v>0</v>
      </c>
      <c r="N62" s="1000">
        <v>0</v>
      </c>
      <c r="O62" s="1000">
        <v>0</v>
      </c>
      <c r="P62" s="1000">
        <v>0</v>
      </c>
      <c r="Q62" s="1000">
        <v>0</v>
      </c>
      <c r="R62" s="1000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1000">
        <v>0</v>
      </c>
      <c r="I63" s="1000">
        <v>0</v>
      </c>
      <c r="J63" s="1000">
        <v>0</v>
      </c>
      <c r="K63" s="1000">
        <v>0</v>
      </c>
      <c r="L63" s="1000">
        <v>0</v>
      </c>
      <c r="M63" s="1000">
        <v>0</v>
      </c>
      <c r="N63" s="1000">
        <v>0</v>
      </c>
      <c r="O63" s="1000">
        <v>0</v>
      </c>
      <c r="P63" s="1000">
        <v>0</v>
      </c>
      <c r="Q63" s="1000">
        <v>0</v>
      </c>
      <c r="R63" s="1000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1000">
        <v>0</v>
      </c>
      <c r="I64" s="1000">
        <v>0</v>
      </c>
      <c r="J64" s="1000">
        <v>0</v>
      </c>
      <c r="K64" s="1000">
        <v>0</v>
      </c>
      <c r="L64" s="1000">
        <v>0</v>
      </c>
      <c r="M64" s="1000">
        <v>0</v>
      </c>
      <c r="N64" s="1000">
        <v>0</v>
      </c>
      <c r="O64" s="1000">
        <v>0</v>
      </c>
      <c r="P64" s="1000">
        <v>0</v>
      </c>
      <c r="Q64" s="1000">
        <v>0</v>
      </c>
      <c r="R64" s="1000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1000">
        <v>0</v>
      </c>
      <c r="I65" s="1000">
        <v>0</v>
      </c>
      <c r="J65" s="1000">
        <v>0</v>
      </c>
      <c r="K65" s="1000">
        <v>0</v>
      </c>
      <c r="L65" s="1000">
        <v>0</v>
      </c>
      <c r="M65" s="1000">
        <v>0</v>
      </c>
      <c r="N65" s="1000">
        <v>0</v>
      </c>
      <c r="O65" s="1000">
        <v>0</v>
      </c>
      <c r="P65" s="1000">
        <v>0</v>
      </c>
      <c r="Q65" s="1000">
        <v>0</v>
      </c>
      <c r="R65" s="1000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1000">
        <v>0</v>
      </c>
      <c r="I66" s="1000">
        <v>0</v>
      </c>
      <c r="J66" s="1000">
        <v>0</v>
      </c>
      <c r="K66" s="1000">
        <v>0</v>
      </c>
      <c r="L66" s="1000">
        <v>0</v>
      </c>
      <c r="M66" s="1000">
        <v>0</v>
      </c>
      <c r="N66" s="1000">
        <v>0</v>
      </c>
      <c r="O66" s="1000">
        <v>0</v>
      </c>
      <c r="P66" s="1000">
        <v>0</v>
      </c>
      <c r="Q66" s="1000">
        <v>0</v>
      </c>
      <c r="R66" s="1000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1000">
        <v>0</v>
      </c>
      <c r="I67" s="1000">
        <v>0</v>
      </c>
      <c r="J67" s="1000">
        <v>0</v>
      </c>
      <c r="K67" s="1000">
        <v>0</v>
      </c>
      <c r="L67" s="1000">
        <v>0</v>
      </c>
      <c r="M67" s="1000">
        <v>0</v>
      </c>
      <c r="N67" s="1000">
        <v>0</v>
      </c>
      <c r="O67" s="1000">
        <v>0</v>
      </c>
      <c r="P67" s="1000">
        <v>0</v>
      </c>
      <c r="Q67" s="1000">
        <v>0</v>
      </c>
      <c r="R67" s="1000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1000">
        <v>0</v>
      </c>
      <c r="I68" s="1000">
        <v>0</v>
      </c>
      <c r="J68" s="1000">
        <v>0</v>
      </c>
      <c r="K68" s="1000">
        <v>0</v>
      </c>
      <c r="L68" s="1000">
        <v>0</v>
      </c>
      <c r="M68" s="1000">
        <v>0</v>
      </c>
      <c r="N68" s="1000">
        <v>0</v>
      </c>
      <c r="O68" s="1000">
        <v>0</v>
      </c>
      <c r="P68" s="1000">
        <v>0</v>
      </c>
      <c r="Q68" s="1000">
        <v>0</v>
      </c>
      <c r="R68" s="1000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1000">
        <v>0</v>
      </c>
      <c r="I69" s="1000">
        <v>0</v>
      </c>
      <c r="J69" s="1000">
        <v>0</v>
      </c>
      <c r="K69" s="1000">
        <v>0</v>
      </c>
      <c r="L69" s="1000">
        <v>0</v>
      </c>
      <c r="M69" s="1000">
        <v>0</v>
      </c>
      <c r="N69" s="1000">
        <v>0</v>
      </c>
      <c r="O69" s="1000">
        <v>0</v>
      </c>
      <c r="P69" s="1000">
        <v>0</v>
      </c>
      <c r="Q69" s="1000">
        <v>0</v>
      </c>
      <c r="R69" s="1000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1000">
        <v>0</v>
      </c>
      <c r="I70" s="1000">
        <v>0.156</v>
      </c>
      <c r="J70" s="1000">
        <v>3.1E-2</v>
      </c>
      <c r="K70" s="1000">
        <v>0.318</v>
      </c>
      <c r="L70" s="1000">
        <v>0.38400000000000001</v>
      </c>
      <c r="M70" s="1000">
        <v>0</v>
      </c>
      <c r="N70" s="1000">
        <v>0</v>
      </c>
      <c r="O70" s="1000">
        <v>0</v>
      </c>
      <c r="P70" s="1000">
        <v>0</v>
      </c>
      <c r="Q70" s="1000">
        <v>0</v>
      </c>
      <c r="R70" s="1000">
        <v>0</v>
      </c>
    </row>
    <row r="71" spans="2:18" x14ac:dyDescent="0.2">
      <c r="B71" s="51" t="s">
        <v>162</v>
      </c>
      <c r="D71" s="16"/>
      <c r="E71" s="22"/>
      <c r="F71" s="22"/>
      <c r="G71" s="1021" t="s">
        <v>163</v>
      </c>
      <c r="H71" s="999">
        <f t="shared" ref="H71:R71" si="16">SUM(H58:H70)</f>
        <v>878.32299999999998</v>
      </c>
      <c r="I71" s="999">
        <f t="shared" si="16"/>
        <v>-3.677</v>
      </c>
      <c r="J71" s="999">
        <f t="shared" si="16"/>
        <v>11.72</v>
      </c>
      <c r="K71" s="999">
        <f t="shared" si="16"/>
        <v>0.318</v>
      </c>
      <c r="L71" s="999">
        <f t="shared" si="16"/>
        <v>-32.003999999999998</v>
      </c>
      <c r="M71" s="999">
        <f t="shared" si="16"/>
        <v>-10</v>
      </c>
      <c r="N71" s="999">
        <f t="shared" si="16"/>
        <v>0</v>
      </c>
      <c r="O71" s="999">
        <f t="shared" si="16"/>
        <v>0</v>
      </c>
      <c r="P71" s="999">
        <f t="shared" si="16"/>
        <v>0</v>
      </c>
      <c r="Q71" s="999">
        <f t="shared" si="16"/>
        <v>0</v>
      </c>
      <c r="R71" s="999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996" t="s">
        <v>164</v>
      </c>
      <c r="H73" s="1016">
        <f t="shared" ref="H73:R73" si="17">H57</f>
        <v>2011</v>
      </c>
      <c r="I73" s="1016">
        <f t="shared" si="17"/>
        <v>2012</v>
      </c>
      <c r="J73" s="1016">
        <f t="shared" si="17"/>
        <v>2013</v>
      </c>
      <c r="K73" s="1016">
        <f t="shared" si="17"/>
        <v>2014</v>
      </c>
      <c r="L73" s="1016">
        <f t="shared" si="17"/>
        <v>2015</v>
      </c>
      <c r="M73" s="1016">
        <f t="shared" si="17"/>
        <v>2016</v>
      </c>
      <c r="N73" s="1016">
        <f t="shared" si="17"/>
        <v>2017</v>
      </c>
      <c r="O73" s="1016">
        <f t="shared" si="17"/>
        <v>2018</v>
      </c>
      <c r="P73" s="1016">
        <f t="shared" si="17"/>
        <v>2019</v>
      </c>
      <c r="Q73" s="1016">
        <f t="shared" si="17"/>
        <v>2020</v>
      </c>
      <c r="R73" s="1016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998" t="s">
        <v>167</v>
      </c>
      <c r="H74" s="1000">
        <v>0</v>
      </c>
      <c r="I74" s="1000">
        <v>0</v>
      </c>
      <c r="J74" s="1000">
        <v>0</v>
      </c>
      <c r="K74" s="1000">
        <v>0</v>
      </c>
      <c r="L74" s="1000">
        <v>0</v>
      </c>
      <c r="M74" s="1000">
        <v>0</v>
      </c>
      <c r="N74" s="1000">
        <v>0</v>
      </c>
      <c r="O74" s="1000">
        <v>0</v>
      </c>
      <c r="P74" s="1000">
        <v>0</v>
      </c>
      <c r="Q74" s="1000">
        <v>0</v>
      </c>
      <c r="R74" s="1000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1000">
        <v>0</v>
      </c>
      <c r="I75" s="1000">
        <v>0</v>
      </c>
      <c r="J75" s="1000">
        <v>0</v>
      </c>
      <c r="K75" s="1000">
        <v>0</v>
      </c>
      <c r="L75" s="1000">
        <v>0</v>
      </c>
      <c r="M75" s="1000">
        <v>0</v>
      </c>
      <c r="N75" s="1000">
        <v>0</v>
      </c>
      <c r="O75" s="1000">
        <v>0</v>
      </c>
      <c r="P75" s="1000">
        <v>0</v>
      </c>
      <c r="Q75" s="1000">
        <v>0</v>
      </c>
      <c r="R75" s="1000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1000">
        <v>0</v>
      </c>
      <c r="I76" s="1000">
        <v>0</v>
      </c>
      <c r="J76" s="1000">
        <v>0</v>
      </c>
      <c r="K76" s="1000">
        <v>0</v>
      </c>
      <c r="L76" s="1000">
        <v>0</v>
      </c>
      <c r="M76" s="1000">
        <v>0</v>
      </c>
      <c r="N76" s="1000">
        <v>0</v>
      </c>
      <c r="O76" s="1000">
        <v>0</v>
      </c>
      <c r="P76" s="1000">
        <v>0</v>
      </c>
      <c r="Q76" s="1000">
        <v>0</v>
      </c>
      <c r="R76" s="1000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1000">
        <v>0</v>
      </c>
      <c r="I77" s="1000">
        <v>0</v>
      </c>
      <c r="J77" s="1000">
        <v>0</v>
      </c>
      <c r="K77" s="1000">
        <v>0</v>
      </c>
      <c r="L77" s="1000">
        <v>0</v>
      </c>
      <c r="M77" s="1000">
        <v>0</v>
      </c>
      <c r="N77" s="1000">
        <v>0</v>
      </c>
      <c r="O77" s="1000">
        <v>0</v>
      </c>
      <c r="P77" s="1000">
        <v>0</v>
      </c>
      <c r="Q77" s="1000">
        <v>0</v>
      </c>
      <c r="R77" s="1000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1000">
        <v>-3.3540000000000001</v>
      </c>
      <c r="I78" s="1000">
        <v>-3.7029999999999998</v>
      </c>
      <c r="J78" s="1000">
        <v>-7.34</v>
      </c>
      <c r="K78" s="1000">
        <v>-1.054</v>
      </c>
      <c r="L78" s="1000">
        <v>0</v>
      </c>
      <c r="M78" s="1000">
        <v>-3</v>
      </c>
      <c r="N78" s="1000">
        <v>-2</v>
      </c>
      <c r="O78" s="1000">
        <v>-2</v>
      </c>
      <c r="P78" s="1000">
        <v>-3</v>
      </c>
      <c r="Q78" s="1000">
        <v>0</v>
      </c>
      <c r="R78" s="1000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1000">
        <v>-0.83899999999999997</v>
      </c>
      <c r="I79" s="1000">
        <v>-0.53800000000000003</v>
      </c>
      <c r="J79" s="1000">
        <v>-0.104</v>
      </c>
      <c r="K79" s="1000">
        <v>-0.105</v>
      </c>
      <c r="L79" s="1000">
        <v>-5.0999999999999997E-2</v>
      </c>
      <c r="M79" s="1000">
        <v>0</v>
      </c>
      <c r="N79" s="1000">
        <v>0</v>
      </c>
      <c r="O79" s="1000">
        <v>0</v>
      </c>
      <c r="P79" s="1000">
        <v>0</v>
      </c>
      <c r="Q79" s="1000">
        <v>0</v>
      </c>
      <c r="R79" s="1000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1000">
        <v>0</v>
      </c>
      <c r="I80" s="1000">
        <v>0</v>
      </c>
      <c r="J80" s="1000">
        <v>0</v>
      </c>
      <c r="K80" s="1000">
        <v>0</v>
      </c>
      <c r="L80" s="1000">
        <v>0</v>
      </c>
      <c r="M80" s="1000">
        <v>0</v>
      </c>
      <c r="N80" s="1000">
        <v>0</v>
      </c>
      <c r="O80" s="1000">
        <v>0</v>
      </c>
      <c r="P80" s="1000">
        <v>0</v>
      </c>
      <c r="Q80" s="1000">
        <v>0</v>
      </c>
      <c r="R80" s="1000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1000">
        <v>0</v>
      </c>
      <c r="I81" s="1000">
        <v>0</v>
      </c>
      <c r="J81" s="1000">
        <v>0</v>
      </c>
      <c r="K81" s="1000">
        <v>0</v>
      </c>
      <c r="L81" s="1000">
        <v>0</v>
      </c>
      <c r="M81" s="1000">
        <v>0</v>
      </c>
      <c r="N81" s="1000">
        <v>0</v>
      </c>
      <c r="O81" s="1000">
        <v>0</v>
      </c>
      <c r="P81" s="1000">
        <v>0</v>
      </c>
      <c r="Q81" s="1000">
        <v>0</v>
      </c>
      <c r="R81" s="1000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1000">
        <v>0</v>
      </c>
      <c r="I82" s="1000">
        <v>0</v>
      </c>
      <c r="J82" s="1000">
        <v>0</v>
      </c>
      <c r="K82" s="1000">
        <v>0</v>
      </c>
      <c r="L82" s="1000">
        <v>0</v>
      </c>
      <c r="M82" s="1000">
        <v>0</v>
      </c>
      <c r="N82" s="1000">
        <v>0</v>
      </c>
      <c r="O82" s="1000">
        <v>0</v>
      </c>
      <c r="P82" s="1000">
        <v>0</v>
      </c>
      <c r="Q82" s="1000">
        <v>0</v>
      </c>
      <c r="R82" s="1000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1000">
        <v>0</v>
      </c>
      <c r="I83" s="1000">
        <v>0</v>
      </c>
      <c r="J83" s="1000">
        <v>0</v>
      </c>
      <c r="K83" s="1000">
        <v>0</v>
      </c>
      <c r="L83" s="1000">
        <v>0</v>
      </c>
      <c r="M83" s="1000">
        <v>0</v>
      </c>
      <c r="N83" s="1000">
        <v>0</v>
      </c>
      <c r="O83" s="1000">
        <v>0</v>
      </c>
      <c r="P83" s="1000">
        <v>0</v>
      </c>
      <c r="Q83" s="1000">
        <v>0</v>
      </c>
      <c r="R83" s="1000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1000">
        <v>0</v>
      </c>
      <c r="I84" s="1000">
        <v>0</v>
      </c>
      <c r="J84" s="1000">
        <v>0</v>
      </c>
      <c r="K84" s="1000">
        <v>0</v>
      </c>
      <c r="L84" s="1000">
        <v>0</v>
      </c>
      <c r="M84" s="1000">
        <v>0</v>
      </c>
      <c r="N84" s="1000">
        <v>0</v>
      </c>
      <c r="O84" s="1000">
        <v>0</v>
      </c>
      <c r="P84" s="1000">
        <v>0</v>
      </c>
      <c r="Q84" s="1000">
        <v>0</v>
      </c>
      <c r="R84" s="1000">
        <v>0</v>
      </c>
    </row>
    <row r="85" spans="1:18" x14ac:dyDescent="0.2">
      <c r="B85" s="2" t="s">
        <v>192</v>
      </c>
      <c r="G85" s="186" t="s">
        <v>163</v>
      </c>
      <c r="H85" s="999">
        <f t="shared" ref="H85:R85" si="18">SUM(H74:H84)</f>
        <v>-4.1929999999999996</v>
      </c>
      <c r="I85" s="999">
        <f t="shared" si="18"/>
        <v>-4.2409999999999997</v>
      </c>
      <c r="J85" s="999">
        <f t="shared" si="18"/>
        <v>-7.444</v>
      </c>
      <c r="K85" s="999">
        <f t="shared" si="18"/>
        <v>-1.159</v>
      </c>
      <c r="L85" s="999">
        <f t="shared" si="18"/>
        <v>-5.0999999999999997E-2</v>
      </c>
      <c r="M85" s="999">
        <f t="shared" si="18"/>
        <v>-3</v>
      </c>
      <c r="N85" s="999">
        <f t="shared" si="18"/>
        <v>-2</v>
      </c>
      <c r="O85" s="999">
        <f t="shared" si="18"/>
        <v>-2</v>
      </c>
      <c r="P85" s="999">
        <f t="shared" si="18"/>
        <v>-3</v>
      </c>
      <c r="Q85" s="999">
        <f t="shared" si="18"/>
        <v>0</v>
      </c>
      <c r="R85" s="999">
        <f t="shared" si="18"/>
        <v>0</v>
      </c>
    </row>
    <row r="87" spans="1:18" x14ac:dyDescent="0.2">
      <c r="A87" s="23" t="s">
        <v>0</v>
      </c>
      <c r="D87" s="1286" t="s">
        <v>193</v>
      </c>
      <c r="E87" s="1287"/>
      <c r="G87" s="996" t="s">
        <v>194</v>
      </c>
      <c r="H87" s="1016">
        <f t="shared" ref="H87:R87" si="19">H32</f>
        <v>2011</v>
      </c>
      <c r="I87" s="1016">
        <f t="shared" si="19"/>
        <v>2012</v>
      </c>
      <c r="J87" s="1016">
        <f t="shared" si="19"/>
        <v>2013</v>
      </c>
      <c r="K87" s="1016">
        <f t="shared" si="19"/>
        <v>2014</v>
      </c>
      <c r="L87" s="1016">
        <f t="shared" si="19"/>
        <v>2015</v>
      </c>
      <c r="M87" s="1016">
        <f t="shared" si="19"/>
        <v>2016</v>
      </c>
      <c r="N87" s="1016">
        <f t="shared" si="19"/>
        <v>2017</v>
      </c>
      <c r="O87" s="1016">
        <f t="shared" si="19"/>
        <v>2018</v>
      </c>
      <c r="P87" s="1016">
        <f t="shared" si="19"/>
        <v>2019</v>
      </c>
      <c r="Q87" s="1016">
        <f t="shared" si="19"/>
        <v>2020</v>
      </c>
      <c r="R87" s="1016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1022"/>
      <c r="G88" s="998" t="s">
        <v>198</v>
      </c>
      <c r="H88" s="999">
        <f>H46+H71</f>
        <v>-437.6610000000004</v>
      </c>
      <c r="I88" s="999">
        <f t="shared" ref="I88:R88" si="20">I46+I71</f>
        <v>-1311.5889999999997</v>
      </c>
      <c r="J88" s="999">
        <f t="shared" si="20"/>
        <v>-462.68200000000002</v>
      </c>
      <c r="K88" s="999">
        <f t="shared" si="20"/>
        <v>142.63300000000007</v>
      </c>
      <c r="L88" s="999">
        <f t="shared" si="20"/>
        <v>-94.360000000000213</v>
      </c>
      <c r="M88" s="999">
        <f t="shared" si="20"/>
        <v>623</v>
      </c>
      <c r="N88" s="999">
        <f t="shared" si="20"/>
        <v>2</v>
      </c>
      <c r="O88" s="999">
        <f t="shared" si="20"/>
        <v>2</v>
      </c>
      <c r="P88" s="999">
        <f t="shared" si="20"/>
        <v>3</v>
      </c>
      <c r="Q88" s="999">
        <f t="shared" si="20"/>
        <v>0</v>
      </c>
      <c r="R88" s="999">
        <f t="shared" si="20"/>
        <v>0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1022"/>
      <c r="G89" s="998" t="s">
        <v>202</v>
      </c>
      <c r="H89" s="1023">
        <f t="shared" ref="H89:R89" si="21">H33+H38+H41-H45</f>
        <v>-905.52800000000036</v>
      </c>
      <c r="I89" s="999">
        <f t="shared" si="21"/>
        <v>-937.25199999999973</v>
      </c>
      <c r="J89" s="999">
        <f t="shared" si="21"/>
        <v>-362.57300000000004</v>
      </c>
      <c r="K89" s="999">
        <f t="shared" si="21"/>
        <v>259.26100000000008</v>
      </c>
      <c r="L89" s="999">
        <f t="shared" si="21"/>
        <v>56.904999999999774</v>
      </c>
      <c r="M89" s="999">
        <f t="shared" si="21"/>
        <v>699</v>
      </c>
      <c r="N89" s="999">
        <f t="shared" si="21"/>
        <v>81</v>
      </c>
      <c r="O89" s="999">
        <f t="shared" si="21"/>
        <v>97</v>
      </c>
      <c r="P89" s="999">
        <f t="shared" si="21"/>
        <v>93</v>
      </c>
      <c r="Q89" s="999">
        <f t="shared" si="21"/>
        <v>90</v>
      </c>
      <c r="R89" s="999">
        <f t="shared" si="21"/>
        <v>90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1024">
        <v>0</v>
      </c>
      <c r="G90" s="186" t="s">
        <v>206</v>
      </c>
      <c r="H90" s="1025">
        <f t="shared" ref="H90:R90" si="22">H89/H33</f>
        <v>-1.1790391421079087</v>
      </c>
      <c r="I90" s="1026">
        <f t="shared" si="22"/>
        <v>-0.94073176680541304</v>
      </c>
      <c r="J90" s="1026">
        <f t="shared" si="22"/>
        <v>-0.17478974014842324</v>
      </c>
      <c r="K90" s="1026">
        <f t="shared" si="22"/>
        <v>0.10447332366215349</v>
      </c>
      <c r="L90" s="1026">
        <f t="shared" si="22"/>
        <v>2.1860045767610015E-2</v>
      </c>
      <c r="M90" s="1026">
        <f t="shared" si="22"/>
        <v>0.20155709342560554</v>
      </c>
      <c r="N90" s="1026">
        <f t="shared" si="22"/>
        <v>2.4222488038277513E-2</v>
      </c>
      <c r="O90" s="1026">
        <f t="shared" si="22"/>
        <v>2.6892154144718603E-2</v>
      </c>
      <c r="P90" s="1026">
        <f t="shared" si="22"/>
        <v>2.4609685101878803E-2</v>
      </c>
      <c r="Q90" s="1026">
        <f t="shared" si="22"/>
        <v>2.2404779686333084E-2</v>
      </c>
      <c r="R90" s="1026">
        <f t="shared" si="22"/>
        <v>2.1276595744680851E-2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1022"/>
      <c r="G91" s="18" t="s">
        <v>210</v>
      </c>
      <c r="H91" s="1027">
        <f t="shared" ref="H91:R91" si="23">-H33/(H38+H41)</f>
        <v>0.36853156852715391</v>
      </c>
      <c r="I91" s="1027">
        <f t="shared" si="23"/>
        <v>0.43238233618159433</v>
      </c>
      <c r="J91" s="1027">
        <f t="shared" si="23"/>
        <v>0.81386802890840182</v>
      </c>
      <c r="K91" s="1027">
        <f t="shared" si="23"/>
        <v>1.0608369651410581</v>
      </c>
      <c r="L91" s="1027">
        <f t="shared" si="23"/>
        <v>0.97660632667631331</v>
      </c>
      <c r="M91" s="1027">
        <f t="shared" si="23"/>
        <v>1.2232804232804233</v>
      </c>
      <c r="N91" s="1027">
        <f t="shared" si="23"/>
        <v>1.0005984440454818</v>
      </c>
      <c r="O91" s="1027">
        <f t="shared" si="23"/>
        <v>1.0005547850208045</v>
      </c>
      <c r="P91" s="1027">
        <f t="shared" si="23"/>
        <v>1.0007944915254237</v>
      </c>
      <c r="Q91" s="1027">
        <f t="shared" si="23"/>
        <v>1</v>
      </c>
      <c r="R91" s="1027">
        <f t="shared" si="23"/>
        <v>1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1022"/>
      <c r="G92" s="998" t="s">
        <v>214</v>
      </c>
      <c r="H92" s="1023">
        <f>H46</f>
        <v>-1315.9840000000004</v>
      </c>
      <c r="I92" s="1023">
        <f t="shared" ref="I92:R92" si="24">I46</f>
        <v>-1307.9119999999998</v>
      </c>
      <c r="J92" s="1023">
        <f t="shared" si="24"/>
        <v>-474.40200000000004</v>
      </c>
      <c r="K92" s="1023">
        <f t="shared" si="24"/>
        <v>142.31500000000005</v>
      </c>
      <c r="L92" s="1023">
        <f t="shared" si="24"/>
        <v>-62.356000000000222</v>
      </c>
      <c r="M92" s="1023">
        <f t="shared" si="24"/>
        <v>633</v>
      </c>
      <c r="N92" s="1023">
        <f t="shared" si="24"/>
        <v>2</v>
      </c>
      <c r="O92" s="1023">
        <f t="shared" si="24"/>
        <v>2</v>
      </c>
      <c r="P92" s="1023">
        <f t="shared" si="24"/>
        <v>3</v>
      </c>
      <c r="Q92" s="1023">
        <f t="shared" si="24"/>
        <v>0</v>
      </c>
      <c r="R92" s="1023">
        <f t="shared" si="24"/>
        <v>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1024">
        <v>-0.3</v>
      </c>
      <c r="E93" s="1024">
        <v>0</v>
      </c>
      <c r="G93" s="18" t="s">
        <v>218</v>
      </c>
      <c r="H93" s="1028">
        <f>H46/H33</f>
        <v>-1.7134717495071761</v>
      </c>
      <c r="I93" s="1029">
        <f t="shared" ref="I93:R93" si="25">I46/I33</f>
        <v>-1.312767928567772</v>
      </c>
      <c r="J93" s="1029">
        <f t="shared" si="25"/>
        <v>-0.22870043358411213</v>
      </c>
      <c r="K93" s="1029">
        <f t="shared" si="25"/>
        <v>5.7348081882656374E-2</v>
      </c>
      <c r="L93" s="1029">
        <f t="shared" si="25"/>
        <v>-2.395404646138477E-2</v>
      </c>
      <c r="M93" s="1029">
        <f t="shared" si="25"/>
        <v>0.18252595155709342</v>
      </c>
      <c r="N93" s="1029">
        <f t="shared" si="25"/>
        <v>5.9808612440191385E-4</v>
      </c>
      <c r="O93" s="1029">
        <f t="shared" si="25"/>
        <v>5.5447740504574439E-4</v>
      </c>
      <c r="P93" s="1029">
        <f t="shared" si="25"/>
        <v>7.9386080973802594E-4</v>
      </c>
      <c r="Q93" s="1029">
        <f t="shared" si="25"/>
        <v>0</v>
      </c>
      <c r="R93" s="1029">
        <f t="shared" si="25"/>
        <v>0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1022"/>
      <c r="G94" s="186" t="s">
        <v>222</v>
      </c>
      <c r="H94" s="1023">
        <f>H29+H30</f>
        <v>-1316.82</v>
      </c>
      <c r="I94" s="1023">
        <f t="shared" ref="I94:R94" si="26">I29+I30</f>
        <v>-1308.452</v>
      </c>
      <c r="J94" s="1023">
        <f t="shared" si="26"/>
        <v>-474.50599999999997</v>
      </c>
      <c r="K94" s="1023">
        <f t="shared" si="26"/>
        <v>-332.29599999999994</v>
      </c>
      <c r="L94" s="1023">
        <f t="shared" si="26"/>
        <v>-394.12699999999995</v>
      </c>
      <c r="M94" s="1023">
        <f t="shared" si="26"/>
        <v>238</v>
      </c>
      <c r="N94" s="1023">
        <f t="shared" si="26"/>
        <v>238</v>
      </c>
      <c r="O94" s="1023">
        <f t="shared" si="26"/>
        <v>238</v>
      </c>
      <c r="P94" s="1023">
        <f t="shared" si="26"/>
        <v>238</v>
      </c>
      <c r="Q94" s="1023">
        <f t="shared" si="26"/>
        <v>238</v>
      </c>
      <c r="R94" s="1023">
        <f t="shared" si="26"/>
        <v>238</v>
      </c>
    </row>
    <row r="95" spans="1:18" x14ac:dyDescent="0.2">
      <c r="G95" s="1030" t="s">
        <v>223</v>
      </c>
      <c r="H95" s="1016">
        <f t="shared" ref="H95:R95" si="27">H87</f>
        <v>2011</v>
      </c>
      <c r="I95" s="1016">
        <f t="shared" si="27"/>
        <v>2012</v>
      </c>
      <c r="J95" s="1016">
        <f t="shared" si="27"/>
        <v>2013</v>
      </c>
      <c r="K95" s="1016">
        <f t="shared" si="27"/>
        <v>2014</v>
      </c>
      <c r="L95" s="1016">
        <f t="shared" si="27"/>
        <v>2015</v>
      </c>
      <c r="M95" s="1016">
        <f t="shared" si="27"/>
        <v>2016</v>
      </c>
      <c r="N95" s="1016">
        <f t="shared" si="27"/>
        <v>2017</v>
      </c>
      <c r="O95" s="1016">
        <f t="shared" si="27"/>
        <v>2018</v>
      </c>
      <c r="P95" s="1016">
        <f t="shared" si="27"/>
        <v>2019</v>
      </c>
      <c r="Q95" s="1016">
        <f t="shared" si="27"/>
        <v>2020</v>
      </c>
      <c r="R95" s="1016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1022"/>
      <c r="F96" s="69"/>
      <c r="G96" s="998" t="s">
        <v>227</v>
      </c>
      <c r="H96" s="1023">
        <f t="shared" ref="H96:R96" si="28">H6+H12</f>
        <v>74.299000000000007</v>
      </c>
      <c r="I96" s="999">
        <f t="shared" si="28"/>
        <v>6.2439999999999998</v>
      </c>
      <c r="J96" s="999">
        <f t="shared" si="28"/>
        <v>2.8410000000000002</v>
      </c>
      <c r="K96" s="999">
        <f t="shared" si="28"/>
        <v>2.133</v>
      </c>
      <c r="L96" s="999">
        <f t="shared" si="28"/>
        <v>25.367000000000001</v>
      </c>
      <c r="M96" s="999">
        <f t="shared" si="28"/>
        <v>208</v>
      </c>
      <c r="N96" s="999">
        <f t="shared" si="28"/>
        <v>182</v>
      </c>
      <c r="O96" s="999">
        <f t="shared" si="28"/>
        <v>250</v>
      </c>
      <c r="P96" s="999">
        <f t="shared" si="28"/>
        <v>189</v>
      </c>
      <c r="Q96" s="999">
        <f t="shared" si="28"/>
        <v>209</v>
      </c>
      <c r="R96" s="999">
        <f t="shared" si="28"/>
        <v>269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1022"/>
      <c r="F97" s="69"/>
      <c r="G97" s="18" t="s">
        <v>230</v>
      </c>
      <c r="H97" s="1023">
        <f>H19</f>
        <v>301.96999999999997</v>
      </c>
      <c r="I97" s="1023">
        <f t="shared" ref="I97:R97" si="29">I19</f>
        <v>402.916</v>
      </c>
      <c r="J97" s="1023">
        <f t="shared" si="29"/>
        <v>440.21199999999999</v>
      </c>
      <c r="K97" s="1023">
        <f t="shared" si="29"/>
        <v>176.745</v>
      </c>
      <c r="L97" s="1023">
        <f t="shared" si="29"/>
        <v>202.23700000000002</v>
      </c>
      <c r="M97" s="1023">
        <f t="shared" si="29"/>
        <v>347</v>
      </c>
      <c r="N97" s="1023">
        <f t="shared" si="29"/>
        <v>201</v>
      </c>
      <c r="O97" s="1023">
        <f t="shared" si="29"/>
        <v>220</v>
      </c>
      <c r="P97" s="1023">
        <f t="shared" si="29"/>
        <v>200</v>
      </c>
      <c r="Q97" s="1023">
        <f t="shared" si="29"/>
        <v>150</v>
      </c>
      <c r="R97" s="1023">
        <f t="shared" si="29"/>
        <v>130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1022"/>
      <c r="F98" s="69"/>
      <c r="G98" s="18" t="s">
        <v>234</v>
      </c>
      <c r="H98" s="1023">
        <f t="shared" ref="H98:R98" si="30">H97-H96</f>
        <v>227.67099999999996</v>
      </c>
      <c r="I98" s="999">
        <f t="shared" si="30"/>
        <v>396.67200000000003</v>
      </c>
      <c r="J98" s="999">
        <f t="shared" si="30"/>
        <v>437.37099999999998</v>
      </c>
      <c r="K98" s="999">
        <f t="shared" si="30"/>
        <v>174.61199999999999</v>
      </c>
      <c r="L98" s="999">
        <f t="shared" si="30"/>
        <v>176.87000000000003</v>
      </c>
      <c r="M98" s="999">
        <f t="shared" si="30"/>
        <v>139</v>
      </c>
      <c r="N98" s="999">
        <f t="shared" si="30"/>
        <v>19</v>
      </c>
      <c r="O98" s="999">
        <f t="shared" si="30"/>
        <v>-30</v>
      </c>
      <c r="P98" s="999">
        <f t="shared" si="30"/>
        <v>11</v>
      </c>
      <c r="Q98" s="999">
        <f t="shared" si="30"/>
        <v>-59</v>
      </c>
      <c r="R98" s="999">
        <f t="shared" si="30"/>
        <v>-139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1024">
        <v>0.4</v>
      </c>
      <c r="F99" s="69"/>
      <c r="G99" s="18" t="s">
        <v>238</v>
      </c>
      <c r="H99" s="1031">
        <f t="shared" ref="H99:R99" si="31">H98/H33</f>
        <v>0.29643812286627197</v>
      </c>
      <c r="I99" s="1026">
        <f t="shared" si="31"/>
        <v>0.39814473738358191</v>
      </c>
      <c r="J99" s="1026">
        <f t="shared" si="31"/>
        <v>0.21084847310322616</v>
      </c>
      <c r="K99" s="1026">
        <f t="shared" si="31"/>
        <v>7.0362669245647963E-2</v>
      </c>
      <c r="L99" s="1026">
        <f t="shared" si="31"/>
        <v>6.7944579473107794E-2</v>
      </c>
      <c r="M99" s="1026">
        <f t="shared" si="31"/>
        <v>4.008073817762399E-2</v>
      </c>
      <c r="N99" s="1026">
        <f t="shared" si="31"/>
        <v>5.681818181818182E-3</v>
      </c>
      <c r="O99" s="1026">
        <f t="shared" si="31"/>
        <v>-8.3171610756861657E-3</v>
      </c>
      <c r="P99" s="1026">
        <f t="shared" si="31"/>
        <v>2.9108229690394285E-3</v>
      </c>
      <c r="Q99" s="1026">
        <f t="shared" si="31"/>
        <v>-1.4687577794373911E-2</v>
      </c>
      <c r="R99" s="1026">
        <f t="shared" si="31"/>
        <v>-3.2860520094562647E-2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1032">
        <v>0</v>
      </c>
      <c r="E100" s="1032">
        <v>5</v>
      </c>
      <c r="F100" s="69"/>
      <c r="G100" s="18" t="s">
        <v>242</v>
      </c>
      <c r="H100" s="1027">
        <f t="shared" ref="H100:R100" si="32">H98/H89</f>
        <v>-0.25142347889849886</v>
      </c>
      <c r="I100" s="1027">
        <f t="shared" si="32"/>
        <v>-0.42322875811414662</v>
      </c>
      <c r="J100" s="1027">
        <f t="shared" si="32"/>
        <v>-1.2062977662429357</v>
      </c>
      <c r="K100" s="1027">
        <f t="shared" si="32"/>
        <v>0.67349890650734179</v>
      </c>
      <c r="L100" s="1027">
        <f t="shared" si="32"/>
        <v>3.1081627273526182</v>
      </c>
      <c r="M100" s="1027">
        <f t="shared" si="32"/>
        <v>0.19885550786838341</v>
      </c>
      <c r="N100" s="1027">
        <f t="shared" si="32"/>
        <v>0.23456790123456789</v>
      </c>
      <c r="O100" s="1027">
        <f t="shared" si="32"/>
        <v>-0.30927835051546393</v>
      </c>
      <c r="P100" s="1027">
        <f t="shared" si="32"/>
        <v>0.11827956989247312</v>
      </c>
      <c r="Q100" s="1027">
        <f t="shared" si="32"/>
        <v>-0.65555555555555556</v>
      </c>
      <c r="R100" s="1027">
        <f t="shared" si="32"/>
        <v>-1.5444444444444445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1022"/>
      <c r="F101" s="69"/>
      <c r="G101" s="18" t="s">
        <v>246</v>
      </c>
      <c r="H101" s="1023">
        <f t="shared" ref="H101:R101" si="33">-(H75+H77+H78+H79+H80+H81)</f>
        <v>4.1929999999999996</v>
      </c>
      <c r="I101" s="1023">
        <f t="shared" si="33"/>
        <v>4.2409999999999997</v>
      </c>
      <c r="J101" s="1023">
        <f t="shared" si="33"/>
        <v>7.444</v>
      </c>
      <c r="K101" s="1023">
        <f t="shared" si="33"/>
        <v>1.159</v>
      </c>
      <c r="L101" s="1023">
        <f t="shared" si="33"/>
        <v>5.0999999999999997E-2</v>
      </c>
      <c r="M101" s="1023">
        <f t="shared" si="33"/>
        <v>3</v>
      </c>
      <c r="N101" s="1023">
        <f t="shared" si="33"/>
        <v>2</v>
      </c>
      <c r="O101" s="1023">
        <f t="shared" si="33"/>
        <v>2</v>
      </c>
      <c r="P101" s="1023">
        <f t="shared" si="33"/>
        <v>3</v>
      </c>
      <c r="Q101" s="1023">
        <f t="shared" si="33"/>
        <v>0</v>
      </c>
      <c r="R101" s="1023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1032">
        <v>1.2</v>
      </c>
      <c r="F102" s="69"/>
      <c r="G102" s="18" t="s">
        <v>250</v>
      </c>
      <c r="H102" s="1033">
        <f t="shared" ref="H102:R102" si="34">H89/H101</f>
        <v>-215.96184116384461</v>
      </c>
      <c r="I102" s="1027">
        <f t="shared" si="34"/>
        <v>-220.99787785899548</v>
      </c>
      <c r="J102" s="1027">
        <f t="shared" si="34"/>
        <v>-48.706743686190222</v>
      </c>
      <c r="K102" s="1027">
        <f t="shared" si="34"/>
        <v>223.69370146678176</v>
      </c>
      <c r="L102" s="1027">
        <f t="shared" si="34"/>
        <v>1115.7843137254858</v>
      </c>
      <c r="M102" s="1027">
        <f t="shared" si="34"/>
        <v>233</v>
      </c>
      <c r="N102" s="1027">
        <f t="shared" si="34"/>
        <v>40.5</v>
      </c>
      <c r="O102" s="1027">
        <f t="shared" si="34"/>
        <v>48.5</v>
      </c>
      <c r="P102" s="1027">
        <f t="shared" si="34"/>
        <v>31</v>
      </c>
      <c r="Q102" s="1027" t="e">
        <f t="shared" si="34"/>
        <v>#DIV/0!</v>
      </c>
      <c r="R102" s="1027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1032">
        <v>0</v>
      </c>
      <c r="F103" s="69"/>
      <c r="G103" s="998" t="s">
        <v>254</v>
      </c>
      <c r="H103" s="1023">
        <f t="shared" ref="H103:R103" si="35">H5-H20</f>
        <v>-177.27799999999999</v>
      </c>
      <c r="I103" s="1023">
        <f t="shared" si="35"/>
        <v>-345.846</v>
      </c>
      <c r="J103" s="1023">
        <f t="shared" si="35"/>
        <v>-387.548</v>
      </c>
      <c r="K103" s="1023">
        <f t="shared" si="35"/>
        <v>-132.28200000000001</v>
      </c>
      <c r="L103" s="1023">
        <f t="shared" si="35"/>
        <v>-110.532</v>
      </c>
      <c r="M103" s="1023">
        <f t="shared" si="35"/>
        <v>678</v>
      </c>
      <c r="N103" s="1023">
        <f t="shared" si="35"/>
        <v>56</v>
      </c>
      <c r="O103" s="1023">
        <f t="shared" si="35"/>
        <v>371</v>
      </c>
      <c r="P103" s="1023">
        <f t="shared" si="35"/>
        <v>309</v>
      </c>
      <c r="Q103" s="1023">
        <f t="shared" si="35"/>
        <v>349</v>
      </c>
      <c r="R103" s="1023">
        <f t="shared" si="35"/>
        <v>419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1032">
        <v>1</v>
      </c>
      <c r="F104" s="69"/>
      <c r="G104" s="18" t="s">
        <v>258</v>
      </c>
      <c r="H104" s="1033">
        <f t="shared" ref="H104:R104" si="36">H5/H20</f>
        <v>0.39884161766600884</v>
      </c>
      <c r="I104" s="1033">
        <f t="shared" si="36"/>
        <v>0.14164242670928928</v>
      </c>
      <c r="J104" s="1033">
        <f t="shared" si="36"/>
        <v>0.11178645177998868</v>
      </c>
      <c r="K104" s="1033">
        <f t="shared" si="36"/>
        <v>0.25156581515743015</v>
      </c>
      <c r="L104" s="1033">
        <f t="shared" si="36"/>
        <v>0.45345312677699928</v>
      </c>
      <c r="M104" s="1033">
        <f t="shared" si="36"/>
        <v>3.7560975609756095</v>
      </c>
      <c r="N104" s="1033">
        <f t="shared" si="36"/>
        <v>1.2786069651741294</v>
      </c>
      <c r="O104" s="1033" t="e">
        <f t="shared" si="36"/>
        <v>#DIV/0!</v>
      </c>
      <c r="P104" s="1033" t="e">
        <f t="shared" si="36"/>
        <v>#DIV/0!</v>
      </c>
      <c r="Q104" s="1033" t="e">
        <f t="shared" si="36"/>
        <v>#DIV/0!</v>
      </c>
      <c r="R104" s="1033" t="e">
        <f t="shared" si="36"/>
        <v>#DIV/0!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1032">
        <v>1</v>
      </c>
      <c r="F105" s="69"/>
      <c r="G105" s="186" t="s">
        <v>262</v>
      </c>
      <c r="H105" s="1033">
        <f t="shared" ref="H105:R105" si="37">-H6/((H38+H41-H45+H47)/12)</f>
        <v>0.53248621734401902</v>
      </c>
      <c r="I105" s="1033">
        <f t="shared" si="37"/>
        <v>3.8740679730167822E-2</v>
      </c>
      <c r="J105" s="1033">
        <f t="shared" si="37"/>
        <v>1.3989245039525816E-2</v>
      </c>
      <c r="K105" s="1033">
        <f t="shared" si="37"/>
        <v>1.1517050598350285E-2</v>
      </c>
      <c r="L105" s="1033">
        <f t="shared" si="37"/>
        <v>0.11957476879830901</v>
      </c>
      <c r="M105" s="1033">
        <f t="shared" si="37"/>
        <v>0.90108303249097466</v>
      </c>
      <c r="N105" s="1033">
        <f t="shared" si="37"/>
        <v>0.66891271056661572</v>
      </c>
      <c r="O105" s="1033">
        <f t="shared" si="37"/>
        <v>0.85421412300683364</v>
      </c>
      <c r="P105" s="1033">
        <f t="shared" si="37"/>
        <v>0.61480075901328268</v>
      </c>
      <c r="Q105" s="1033">
        <f t="shared" si="37"/>
        <v>0.6386554621848739</v>
      </c>
      <c r="R105" s="1033">
        <f t="shared" si="37"/>
        <v>0.77971014492753621</v>
      </c>
    </row>
    <row r="106" spans="1:18" x14ac:dyDescent="0.2">
      <c r="C106" s="16"/>
      <c r="F106" s="69"/>
      <c r="G106" s="1030" t="s">
        <v>263</v>
      </c>
      <c r="H106" s="1016">
        <f t="shared" ref="H106:R106" si="38">H95</f>
        <v>2011</v>
      </c>
      <c r="I106" s="1016">
        <f t="shared" si="38"/>
        <v>2012</v>
      </c>
      <c r="J106" s="1016">
        <f t="shared" si="38"/>
        <v>2013</v>
      </c>
      <c r="K106" s="1016">
        <f t="shared" si="38"/>
        <v>2014</v>
      </c>
      <c r="L106" s="1016">
        <f t="shared" si="38"/>
        <v>2015</v>
      </c>
      <c r="M106" s="1016">
        <f t="shared" si="38"/>
        <v>2016</v>
      </c>
      <c r="N106" s="1016">
        <f t="shared" si="38"/>
        <v>2017</v>
      </c>
      <c r="O106" s="1016">
        <f t="shared" si="38"/>
        <v>2018</v>
      </c>
      <c r="P106" s="1016">
        <f t="shared" si="38"/>
        <v>2019</v>
      </c>
      <c r="Q106" s="1016">
        <f t="shared" si="38"/>
        <v>2020</v>
      </c>
      <c r="R106" s="1016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1024">
        <v>0.6</v>
      </c>
      <c r="F107" s="69"/>
      <c r="G107" s="998" t="s">
        <v>267</v>
      </c>
      <c r="H107" s="1031">
        <f t="shared" ref="H107:R107" si="39">H17/H4</f>
        <v>0</v>
      </c>
      <c r="I107" s="1031">
        <f t="shared" si="39"/>
        <v>0</v>
      </c>
      <c r="J107" s="1031">
        <f t="shared" si="39"/>
        <v>0</v>
      </c>
      <c r="K107" s="1031">
        <f t="shared" si="39"/>
        <v>0</v>
      </c>
      <c r="L107" s="1031">
        <f t="shared" si="39"/>
        <v>0</v>
      </c>
      <c r="M107" s="1031">
        <f t="shared" si="39"/>
        <v>0</v>
      </c>
      <c r="N107" s="1031">
        <f t="shared" si="39"/>
        <v>0</v>
      </c>
      <c r="O107" s="1031">
        <f t="shared" si="39"/>
        <v>0</v>
      </c>
      <c r="P107" s="1031">
        <f t="shared" si="39"/>
        <v>0</v>
      </c>
      <c r="Q107" s="1031">
        <f t="shared" si="39"/>
        <v>0</v>
      </c>
      <c r="R107" s="1031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1024">
        <v>0.4</v>
      </c>
      <c r="F108" s="69"/>
      <c r="G108" s="186" t="s">
        <v>271</v>
      </c>
      <c r="H108" s="1031" t="e">
        <f t="shared" ref="H108:R108" si="40">H27/H17</f>
        <v>#DIV/0!</v>
      </c>
      <c r="I108" s="1031" t="e">
        <f t="shared" si="40"/>
        <v>#DIV/0!</v>
      </c>
      <c r="J108" s="1031" t="e">
        <f t="shared" si="40"/>
        <v>#DIV/0!</v>
      </c>
      <c r="K108" s="1031" t="e">
        <f t="shared" si="40"/>
        <v>#DIV/0!</v>
      </c>
      <c r="L108" s="1031" t="e">
        <f t="shared" si="40"/>
        <v>#DIV/0!</v>
      </c>
      <c r="M108" s="1031" t="e">
        <f t="shared" si="40"/>
        <v>#DIV/0!</v>
      </c>
      <c r="N108" s="1031" t="e">
        <f t="shared" si="40"/>
        <v>#DIV/0!</v>
      </c>
      <c r="O108" s="1031" t="e">
        <f t="shared" si="40"/>
        <v>#DIV/0!</v>
      </c>
      <c r="P108" s="1031" t="e">
        <f t="shared" si="40"/>
        <v>#DIV/0!</v>
      </c>
      <c r="Q108" s="1031" t="e">
        <f t="shared" si="40"/>
        <v>#DIV/0!</v>
      </c>
      <c r="R108" s="1031" t="e">
        <f t="shared" si="40"/>
        <v>#DIV/0!</v>
      </c>
    </row>
    <row r="109" spans="1:18" x14ac:dyDescent="0.2">
      <c r="C109" s="16"/>
      <c r="F109" s="69"/>
      <c r="G109" s="1034" t="s">
        <v>272</v>
      </c>
      <c r="H109" s="1016">
        <f t="shared" ref="H109:R109" si="41">H95</f>
        <v>2011</v>
      </c>
      <c r="I109" s="1016">
        <f t="shared" si="41"/>
        <v>2012</v>
      </c>
      <c r="J109" s="1016">
        <f t="shared" si="41"/>
        <v>2013</v>
      </c>
      <c r="K109" s="1016">
        <f t="shared" si="41"/>
        <v>2014</v>
      </c>
      <c r="L109" s="1016">
        <f t="shared" si="41"/>
        <v>2015</v>
      </c>
      <c r="M109" s="1016">
        <f t="shared" si="41"/>
        <v>2016</v>
      </c>
      <c r="N109" s="1016">
        <f t="shared" si="41"/>
        <v>2017</v>
      </c>
      <c r="O109" s="1016">
        <f t="shared" si="41"/>
        <v>2018</v>
      </c>
      <c r="P109" s="1016">
        <f t="shared" si="41"/>
        <v>2019</v>
      </c>
      <c r="Q109" s="1016">
        <f t="shared" si="41"/>
        <v>2020</v>
      </c>
      <c r="R109" s="1016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1022"/>
      <c r="F110" s="69"/>
      <c r="G110" s="18" t="s">
        <v>276</v>
      </c>
      <c r="H110" s="1035">
        <f t="shared" ref="H110:R110" si="42">H10/H4</f>
        <v>0.98209548688018244</v>
      </c>
      <c r="I110" s="1035">
        <f t="shared" si="42"/>
        <v>0.61481871439755953</v>
      </c>
      <c r="J110" s="1035">
        <f t="shared" si="42"/>
        <v>0.90182877247220417</v>
      </c>
      <c r="K110" s="1035">
        <f t="shared" si="42"/>
        <v>0.88161478676922844</v>
      </c>
      <c r="L110" s="1035">
        <f t="shared" si="42"/>
        <v>0.72967435937495395</v>
      </c>
      <c r="M110" s="1035">
        <f t="shared" si="42"/>
        <v>0.17204301075268819</v>
      </c>
      <c r="N110" s="1035">
        <f t="shared" si="42"/>
        <v>0.73505154639175263</v>
      </c>
      <c r="O110" s="1035">
        <f t="shared" si="42"/>
        <v>0.62487360970677452</v>
      </c>
      <c r="P110" s="1035">
        <f t="shared" si="42"/>
        <v>0.68111455108359131</v>
      </c>
      <c r="Q110" s="1035">
        <f t="shared" si="42"/>
        <v>0.62023939064200218</v>
      </c>
      <c r="R110" s="1035">
        <f t="shared" si="42"/>
        <v>0.53392658509454949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1022"/>
      <c r="F111" s="69"/>
      <c r="G111" s="18" t="s">
        <v>280</v>
      </c>
      <c r="H111" s="1035">
        <f t="shared" ref="H111:R111" si="43">-(H58)/H15</f>
        <v>0</v>
      </c>
      <c r="I111" s="1035">
        <f t="shared" si="43"/>
        <v>4.2077414538828031E-2</v>
      </c>
      <c r="J111" s="1035">
        <f t="shared" si="43"/>
        <v>3.677177884261295E-2</v>
      </c>
      <c r="K111" s="1035">
        <f t="shared" si="43"/>
        <v>0</v>
      </c>
      <c r="L111" s="1035">
        <f t="shared" si="43"/>
        <v>0.14414181486179678</v>
      </c>
      <c r="M111" s="1035">
        <f t="shared" si="43"/>
        <v>5.2083333333333336E-2</v>
      </c>
      <c r="N111" s="1035">
        <f t="shared" si="43"/>
        <v>0</v>
      </c>
      <c r="O111" s="1035">
        <f t="shared" si="43"/>
        <v>0</v>
      </c>
      <c r="P111" s="1035">
        <f t="shared" si="43"/>
        <v>0</v>
      </c>
      <c r="Q111" s="1035">
        <f t="shared" si="43"/>
        <v>0</v>
      </c>
      <c r="R111" s="1035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1022"/>
      <c r="F112" s="69"/>
      <c r="G112" s="998" t="s">
        <v>284</v>
      </c>
      <c r="H112" s="1027">
        <f t="shared" ref="H112:R112" si="44">H33/H4</f>
        <v>0.11691487531720625</v>
      </c>
      <c r="I112" s="1027">
        <f t="shared" si="44"/>
        <v>6.7243122485894009</v>
      </c>
      <c r="J112" s="1027">
        <f t="shared" si="44"/>
        <v>4.1750960075356867</v>
      </c>
      <c r="K112" s="1027">
        <f t="shared" si="44"/>
        <v>6.6073981772143817</v>
      </c>
      <c r="L112" s="1027">
        <f t="shared" si="44"/>
        <v>7.6735015726375799</v>
      </c>
      <c r="M112" s="1027">
        <f t="shared" si="44"/>
        <v>3.10752688172043</v>
      </c>
      <c r="N112" s="1027">
        <f t="shared" si="44"/>
        <v>3.4474226804123713</v>
      </c>
      <c r="O112" s="1027">
        <f t="shared" si="44"/>
        <v>3.647118301314459</v>
      </c>
      <c r="P112" s="1027">
        <f t="shared" si="44"/>
        <v>3.8998968008255934</v>
      </c>
      <c r="Q112" s="1027">
        <f t="shared" si="44"/>
        <v>4.3710554951033735</v>
      </c>
      <c r="R112" s="1027">
        <f t="shared" si="44"/>
        <v>4.7052280311457171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1022"/>
      <c r="F113" s="69"/>
      <c r="G113" s="186" t="s">
        <v>288</v>
      </c>
      <c r="H113" s="1027">
        <f t="shared" ref="H113:R113" si="45">H33/H15</f>
        <v>0.11904634211140622</v>
      </c>
      <c r="I113" s="1027">
        <f t="shared" si="45"/>
        <v>10.937065009770128</v>
      </c>
      <c r="J113" s="1027">
        <f t="shared" si="45"/>
        <v>4.6295883819390671</v>
      </c>
      <c r="K113" s="1027">
        <f t="shared" si="45"/>
        <v>7.494654441343819</v>
      </c>
      <c r="L113" s="1027">
        <f t="shared" si="45"/>
        <v>10.516337149644089</v>
      </c>
      <c r="M113" s="1027">
        <f t="shared" si="45"/>
        <v>18.0625</v>
      </c>
      <c r="N113" s="1027">
        <f t="shared" si="45"/>
        <v>4.6900420757363257</v>
      </c>
      <c r="O113" s="1027">
        <f t="shared" si="45"/>
        <v>5.8365695792880263</v>
      </c>
      <c r="P113" s="1027">
        <f t="shared" si="45"/>
        <v>5.7257575757575756</v>
      </c>
      <c r="Q113" s="1027">
        <f t="shared" si="45"/>
        <v>7.0473684210526315</v>
      </c>
      <c r="R113" s="1027">
        <f t="shared" si="45"/>
        <v>8.8125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1024">
        <v>0.5</v>
      </c>
      <c r="E114" s="1024">
        <f>1/3</f>
        <v>0.33333333333333331</v>
      </c>
      <c r="F114" s="69"/>
      <c r="G114" s="18" t="s">
        <v>292</v>
      </c>
      <c r="H114" s="1035">
        <f t="shared" ref="H114:R114" si="46">H27/H4</f>
        <v>0.95403154480010122</v>
      </c>
      <c r="I114" s="1035">
        <f t="shared" si="46"/>
        <v>-1.7193920250533192</v>
      </c>
      <c r="J114" s="1035">
        <f t="shared" si="46"/>
        <v>0.11397120981571385</v>
      </c>
      <c r="K114" s="1035">
        <f t="shared" si="46"/>
        <v>0.5294092587711241</v>
      </c>
      <c r="L114" s="1035">
        <f t="shared" si="46"/>
        <v>0.40385686787191338</v>
      </c>
      <c r="M114" s="1035">
        <f t="shared" si="46"/>
        <v>0.68906810035842292</v>
      </c>
      <c r="N114" s="1035">
        <f t="shared" si="46"/>
        <v>0.79278350515463913</v>
      </c>
      <c r="O114" s="1035">
        <f t="shared" si="46"/>
        <v>0.7775530839231547</v>
      </c>
      <c r="P114" s="1035">
        <f t="shared" si="46"/>
        <v>0.79360165118679049</v>
      </c>
      <c r="Q114" s="1035">
        <f t="shared" si="46"/>
        <v>0.8367791077257889</v>
      </c>
      <c r="R114" s="1035">
        <f t="shared" si="46"/>
        <v>0.8553948832035595</v>
      </c>
    </row>
    <row r="115" spans="1:19" x14ac:dyDescent="0.2">
      <c r="A115" s="1036"/>
      <c r="C115" s="1036"/>
      <c r="D115" s="1037"/>
      <c r="E115" s="1038"/>
      <c r="F115" s="69"/>
      <c r="G115" s="996" t="s">
        <v>293</v>
      </c>
      <c r="H115" s="1016">
        <f t="shared" ref="H115:R115" si="47">H109</f>
        <v>2011</v>
      </c>
      <c r="I115" s="1016">
        <f t="shared" si="47"/>
        <v>2012</v>
      </c>
      <c r="J115" s="1016">
        <f t="shared" si="47"/>
        <v>2013</v>
      </c>
      <c r="K115" s="1016">
        <f t="shared" si="47"/>
        <v>2014</v>
      </c>
      <c r="L115" s="1016">
        <f t="shared" si="47"/>
        <v>2015</v>
      </c>
      <c r="M115" s="1016">
        <f t="shared" si="47"/>
        <v>2016</v>
      </c>
      <c r="N115" s="1016">
        <f t="shared" si="47"/>
        <v>2017</v>
      </c>
      <c r="O115" s="1016">
        <f t="shared" si="47"/>
        <v>2018</v>
      </c>
      <c r="P115" s="1016">
        <f t="shared" si="47"/>
        <v>2019</v>
      </c>
      <c r="Q115" s="1016">
        <f t="shared" si="47"/>
        <v>2020</v>
      </c>
      <c r="R115" s="1016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1039"/>
      <c r="E116" s="1024">
        <v>0.05</v>
      </c>
      <c r="G116" s="998" t="s">
        <v>297</v>
      </c>
      <c r="H116" s="1026">
        <f t="shared" ref="H116:R116" si="48">H35/H33</f>
        <v>0.74401644744551587</v>
      </c>
      <c r="I116" s="1026">
        <f t="shared" si="48"/>
        <v>0.80009153860128612</v>
      </c>
      <c r="J116" s="1026">
        <f t="shared" si="48"/>
        <v>0.41582953212060908</v>
      </c>
      <c r="K116" s="1026">
        <f t="shared" si="48"/>
        <v>0.24686492585428757</v>
      </c>
      <c r="L116" s="1026">
        <f t="shared" si="48"/>
        <v>0.24970583727182943</v>
      </c>
      <c r="M116" s="1026">
        <f t="shared" si="48"/>
        <v>0.18656286043829295</v>
      </c>
      <c r="N116" s="1026">
        <f t="shared" si="48"/>
        <v>0.24192583732057416</v>
      </c>
      <c r="O116" s="1026">
        <f t="shared" si="48"/>
        <v>0.26199057388411423</v>
      </c>
      <c r="P116" s="1026">
        <f t="shared" si="48"/>
        <v>0.26276792802328658</v>
      </c>
      <c r="Q116" s="1026">
        <f t="shared" si="48"/>
        <v>0.24894199651481205</v>
      </c>
      <c r="R116" s="1026">
        <f t="shared" si="48"/>
        <v>0.24349881796690306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1024">
        <v>0.95</v>
      </c>
      <c r="G117" s="18" t="s">
        <v>301</v>
      </c>
      <c r="H117" s="1035">
        <f t="shared" ref="H117:R117" si="49">(H36+H34)/H33</f>
        <v>0.25598355255448407</v>
      </c>
      <c r="I117" s="1035">
        <f t="shared" si="49"/>
        <v>0.19990846139871388</v>
      </c>
      <c r="J117" s="1035">
        <f t="shared" si="49"/>
        <v>0.58417046787939086</v>
      </c>
      <c r="K117" s="1035">
        <f t="shared" si="49"/>
        <v>0.75313507414571246</v>
      </c>
      <c r="L117" s="1035">
        <f t="shared" si="49"/>
        <v>0.74902954150565992</v>
      </c>
      <c r="M117" s="1035">
        <f t="shared" si="49"/>
        <v>0.81343713956170705</v>
      </c>
      <c r="N117" s="1035">
        <f t="shared" si="49"/>
        <v>0.75807416267942584</v>
      </c>
      <c r="O117" s="1035">
        <f t="shared" si="49"/>
        <v>0.73800942611588582</v>
      </c>
      <c r="P117" s="1035">
        <f t="shared" si="49"/>
        <v>0.73723207197671337</v>
      </c>
      <c r="Q117" s="1035">
        <f t="shared" si="49"/>
        <v>0.75105800348518792</v>
      </c>
      <c r="R117" s="1035">
        <f t="shared" si="49"/>
        <v>0.75650118203309691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1024">
        <v>0.95</v>
      </c>
      <c r="G118" s="186" t="s">
        <v>305</v>
      </c>
      <c r="H118" s="1026">
        <f t="shared" ref="H118:R118" si="50">H38/(H38+H41)</f>
        <v>0</v>
      </c>
      <c r="I118" s="1026">
        <f t="shared" si="50"/>
        <v>0</v>
      </c>
      <c r="J118" s="1026">
        <f t="shared" si="50"/>
        <v>0.12712359832701647</v>
      </c>
      <c r="K118" s="1026">
        <f t="shared" si="50"/>
        <v>0</v>
      </c>
      <c r="L118" s="1026">
        <f t="shared" si="50"/>
        <v>0</v>
      </c>
      <c r="M118" s="1026">
        <f t="shared" si="50"/>
        <v>0</v>
      </c>
      <c r="N118" s="1026">
        <f t="shared" si="50"/>
        <v>0</v>
      </c>
      <c r="O118" s="1026">
        <f t="shared" si="50"/>
        <v>0</v>
      </c>
      <c r="P118" s="1026">
        <f t="shared" si="50"/>
        <v>0</v>
      </c>
      <c r="Q118" s="1026">
        <f t="shared" si="50"/>
        <v>0</v>
      </c>
      <c r="R118" s="1026">
        <f t="shared" si="50"/>
        <v>0</v>
      </c>
    </row>
    <row r="119" spans="1:19" x14ac:dyDescent="0.2">
      <c r="A119" s="1036"/>
      <c r="C119" s="1037"/>
      <c r="D119" s="1037"/>
      <c r="E119" s="1038"/>
      <c r="F119" s="69"/>
      <c r="G119" s="996" t="s">
        <v>306</v>
      </c>
      <c r="H119" s="1016">
        <f>H115</f>
        <v>2011</v>
      </c>
      <c r="I119" s="1016">
        <f t="shared" ref="I119:R119" si="51">I115</f>
        <v>2012</v>
      </c>
      <c r="J119" s="1016">
        <f t="shared" si="51"/>
        <v>2013</v>
      </c>
      <c r="K119" s="1016">
        <f t="shared" si="51"/>
        <v>2014</v>
      </c>
      <c r="L119" s="1016">
        <f t="shared" si="51"/>
        <v>2015</v>
      </c>
      <c r="M119" s="1016">
        <f t="shared" si="51"/>
        <v>2016</v>
      </c>
      <c r="N119" s="1016">
        <f t="shared" si="51"/>
        <v>2017</v>
      </c>
      <c r="O119" s="1016">
        <f t="shared" si="51"/>
        <v>2018</v>
      </c>
      <c r="P119" s="1016">
        <f t="shared" si="51"/>
        <v>2019</v>
      </c>
      <c r="Q119" s="1016">
        <f t="shared" si="51"/>
        <v>2020</v>
      </c>
      <c r="R119" s="1016">
        <f t="shared" si="51"/>
        <v>2021</v>
      </c>
    </row>
    <row r="120" spans="1:19" x14ac:dyDescent="0.2">
      <c r="A120" s="991" t="s">
        <v>307</v>
      </c>
      <c r="B120" s="2" t="s">
        <v>308</v>
      </c>
      <c r="C120" s="16" t="s">
        <v>309</v>
      </c>
      <c r="D120" s="1040">
        <v>0.5</v>
      </c>
      <c r="E120" s="1041" t="s">
        <v>310</v>
      </c>
      <c r="F120" s="991"/>
      <c r="G120" s="998" t="s">
        <v>311</v>
      </c>
      <c r="H120" s="1027">
        <f t="shared" ref="H120:R120" si="52">IF(H116&lt;$D$120,$E$120,H35/H4)</f>
        <v>8.6986590187043231E-2</v>
      </c>
      <c r="I120" s="1027">
        <f t="shared" si="52"/>
        <v>5.3800653330093677</v>
      </c>
      <c r="J120" s="1027" t="str">
        <f t="shared" si="52"/>
        <v>N/A</v>
      </c>
      <c r="K120" s="1027" t="str">
        <f t="shared" si="52"/>
        <v>N/A</v>
      </c>
      <c r="L120" s="1027" t="str">
        <f t="shared" si="52"/>
        <v>N/A</v>
      </c>
      <c r="M120" s="1027" t="str">
        <f t="shared" si="52"/>
        <v>N/A</v>
      </c>
      <c r="N120" s="1027" t="str">
        <f t="shared" si="52"/>
        <v>N/A</v>
      </c>
      <c r="O120" s="1027" t="str">
        <f t="shared" si="52"/>
        <v>N/A</v>
      </c>
      <c r="P120" s="1027" t="str">
        <f t="shared" si="52"/>
        <v>N/A</v>
      </c>
      <c r="Q120" s="1027" t="str">
        <f t="shared" si="52"/>
        <v>N/A</v>
      </c>
      <c r="R120" s="1027" t="str">
        <f t="shared" si="52"/>
        <v>N/A</v>
      </c>
    </row>
    <row r="121" spans="1:19" x14ac:dyDescent="0.2">
      <c r="A121" s="991" t="s">
        <v>312</v>
      </c>
      <c r="B121" s="2" t="s">
        <v>313</v>
      </c>
      <c r="C121" s="16" t="s">
        <v>314</v>
      </c>
      <c r="D121" s="1040">
        <v>0.5</v>
      </c>
      <c r="E121" s="1041" t="s">
        <v>310</v>
      </c>
      <c r="F121" s="991"/>
      <c r="G121" s="18" t="s">
        <v>315</v>
      </c>
      <c r="H121" s="1027">
        <f t="shared" ref="H121:R121" si="53">IF(H116&lt;$D$121,$E$121,H35/H15)</f>
        <v>8.8572436539111968E-2</v>
      </c>
      <c r="I121" s="1027">
        <f t="shared" si="53"/>
        <v>8.7506531714492723</v>
      </c>
      <c r="J121" s="1027" t="str">
        <f t="shared" si="53"/>
        <v>N/A</v>
      </c>
      <c r="K121" s="1027" t="str">
        <f t="shared" si="53"/>
        <v>N/A</v>
      </c>
      <c r="L121" s="1027" t="str">
        <f t="shared" si="53"/>
        <v>N/A</v>
      </c>
      <c r="M121" s="1027" t="str">
        <f t="shared" si="53"/>
        <v>N/A</v>
      </c>
      <c r="N121" s="1027" t="str">
        <f t="shared" si="53"/>
        <v>N/A</v>
      </c>
      <c r="O121" s="1027" t="str">
        <f t="shared" si="53"/>
        <v>N/A</v>
      </c>
      <c r="P121" s="1027" t="str">
        <f t="shared" si="53"/>
        <v>N/A</v>
      </c>
      <c r="Q121" s="1027" t="str">
        <f t="shared" si="53"/>
        <v>N/A</v>
      </c>
      <c r="R121" s="1027" t="str">
        <f t="shared" si="53"/>
        <v>N/A</v>
      </c>
    </row>
    <row r="122" spans="1:19" x14ac:dyDescent="0.2">
      <c r="A122" s="991" t="s">
        <v>316</v>
      </c>
      <c r="B122" s="2" t="s">
        <v>317</v>
      </c>
      <c r="C122" s="16" t="s">
        <v>217</v>
      </c>
      <c r="D122" s="1040">
        <v>0.5</v>
      </c>
      <c r="E122" s="1041" t="s">
        <v>310</v>
      </c>
      <c r="F122" s="991"/>
      <c r="G122" s="998" t="s">
        <v>318</v>
      </c>
      <c r="H122" s="1035">
        <f t="shared" ref="H122:R122" si="54">IF(H116&lt;$D$122,$E$122,H46/H33)</f>
        <v>-1.7134717495071761</v>
      </c>
      <c r="I122" s="1035">
        <f t="shared" si="54"/>
        <v>-1.312767928567772</v>
      </c>
      <c r="J122" s="1035" t="str">
        <f t="shared" si="54"/>
        <v>N/A</v>
      </c>
      <c r="K122" s="1035" t="str">
        <f t="shared" si="54"/>
        <v>N/A</v>
      </c>
      <c r="L122" s="1035" t="str">
        <f t="shared" si="54"/>
        <v>N/A</v>
      </c>
      <c r="M122" s="1035" t="str">
        <f t="shared" si="54"/>
        <v>N/A</v>
      </c>
      <c r="N122" s="1035" t="str">
        <f t="shared" si="54"/>
        <v>N/A</v>
      </c>
      <c r="O122" s="1035" t="str">
        <f t="shared" si="54"/>
        <v>N/A</v>
      </c>
      <c r="P122" s="1035" t="str">
        <f t="shared" si="54"/>
        <v>N/A</v>
      </c>
      <c r="Q122" s="1035" t="str">
        <f t="shared" si="54"/>
        <v>N/A</v>
      </c>
      <c r="R122" s="1035" t="str">
        <f t="shared" si="54"/>
        <v>N/A</v>
      </c>
    </row>
    <row r="123" spans="1:19" x14ac:dyDescent="0.2">
      <c r="A123" s="991" t="s">
        <v>319</v>
      </c>
      <c r="B123" s="2" t="s">
        <v>320</v>
      </c>
      <c r="C123" s="16" t="s">
        <v>321</v>
      </c>
      <c r="D123" s="1040">
        <v>0.5</v>
      </c>
      <c r="E123" s="1041" t="s">
        <v>310</v>
      </c>
      <c r="F123" s="991"/>
      <c r="G123" s="18" t="s">
        <v>322</v>
      </c>
      <c r="H123" s="1035">
        <f t="shared" ref="H123:R123" si="55">IF(H116&lt;$D$122,$E$123,H51/H33)</f>
        <v>-1.7145615620385879</v>
      </c>
      <c r="I123" s="1035">
        <f t="shared" si="55"/>
        <v>-1.3133079260183418</v>
      </c>
      <c r="J123" s="1035" t="str">
        <f t="shared" si="55"/>
        <v>N/A</v>
      </c>
      <c r="K123" s="1035" t="str">
        <f t="shared" si="55"/>
        <v>N/A</v>
      </c>
      <c r="L123" s="1035" t="str">
        <f t="shared" si="55"/>
        <v>N/A</v>
      </c>
      <c r="M123" s="1035" t="str">
        <f t="shared" si="55"/>
        <v>N/A</v>
      </c>
      <c r="N123" s="1035" t="str">
        <f t="shared" si="55"/>
        <v>N/A</v>
      </c>
      <c r="O123" s="1035" t="str">
        <f t="shared" si="55"/>
        <v>N/A</v>
      </c>
      <c r="P123" s="1035" t="str">
        <f t="shared" si="55"/>
        <v>N/A</v>
      </c>
      <c r="Q123" s="1035" t="str">
        <f t="shared" si="55"/>
        <v>N/A</v>
      </c>
      <c r="R123" s="1035" t="str">
        <f t="shared" si="55"/>
        <v>N/A</v>
      </c>
    </row>
    <row r="124" spans="1:19" x14ac:dyDescent="0.2">
      <c r="A124" s="991" t="s">
        <v>323</v>
      </c>
      <c r="B124" s="2" t="s">
        <v>324</v>
      </c>
      <c r="C124" s="16" t="s">
        <v>325</v>
      </c>
      <c r="D124" s="1040">
        <v>0.5</v>
      </c>
      <c r="E124" s="1041" t="s">
        <v>310</v>
      </c>
      <c r="F124" s="991"/>
      <c r="G124" s="18" t="s">
        <v>326</v>
      </c>
      <c r="H124" s="1035">
        <f t="shared" ref="H124:R124" si="56">IF(H116&lt;$D$124,$E$124,H51/H4)</f>
        <v>-0.20045775124941589</v>
      </c>
      <c r="I124" s="1035">
        <f t="shared" si="56"/>
        <v>-8.8310925730946792</v>
      </c>
      <c r="J124" s="1035" t="str">
        <f t="shared" si="56"/>
        <v>N/A</v>
      </c>
      <c r="K124" s="1035" t="str">
        <f t="shared" si="56"/>
        <v>N/A</v>
      </c>
      <c r="L124" s="1035" t="str">
        <f t="shared" si="56"/>
        <v>N/A</v>
      </c>
      <c r="M124" s="1035" t="str">
        <f t="shared" si="56"/>
        <v>N/A</v>
      </c>
      <c r="N124" s="1035" t="str">
        <f t="shared" si="56"/>
        <v>N/A</v>
      </c>
      <c r="O124" s="1035" t="str">
        <f t="shared" si="56"/>
        <v>N/A</v>
      </c>
      <c r="P124" s="1035" t="str">
        <f t="shared" si="56"/>
        <v>N/A</v>
      </c>
      <c r="Q124" s="1035" t="str">
        <f t="shared" si="56"/>
        <v>N/A</v>
      </c>
      <c r="R124" s="1035" t="str">
        <f t="shared" si="56"/>
        <v>N/A</v>
      </c>
    </row>
    <row r="125" spans="1:19" x14ac:dyDescent="0.2">
      <c r="A125" s="991" t="s">
        <v>327</v>
      </c>
      <c r="B125" s="2" t="s">
        <v>328</v>
      </c>
      <c r="C125" s="16" t="s">
        <v>329</v>
      </c>
      <c r="D125" s="1040">
        <v>0.5</v>
      </c>
      <c r="E125" s="1041" t="s">
        <v>310</v>
      </c>
      <c r="F125" s="991"/>
      <c r="G125" s="186" t="s">
        <v>330</v>
      </c>
      <c r="H125" s="1035">
        <f t="shared" ref="H125:R125" si="57">IF(H116&lt;$D$125,$E$125,H51/H27)</f>
        <v>-0.21011648130714369</v>
      </c>
      <c r="I125" s="1035">
        <f t="shared" si="57"/>
        <v>5.13617164929029</v>
      </c>
      <c r="J125" s="1035" t="str">
        <f t="shared" si="57"/>
        <v>N/A</v>
      </c>
      <c r="K125" s="1035" t="str">
        <f t="shared" si="57"/>
        <v>N/A</v>
      </c>
      <c r="L125" s="1035" t="str">
        <f t="shared" si="57"/>
        <v>N/A</v>
      </c>
      <c r="M125" s="1035" t="str">
        <f t="shared" si="57"/>
        <v>N/A</v>
      </c>
      <c r="N125" s="1035" t="str">
        <f t="shared" si="57"/>
        <v>N/A</v>
      </c>
      <c r="O125" s="1035" t="str">
        <f t="shared" si="57"/>
        <v>N/A</v>
      </c>
      <c r="P125" s="1035" t="str">
        <f t="shared" si="57"/>
        <v>N/A</v>
      </c>
      <c r="Q125" s="1035" t="str">
        <f t="shared" si="57"/>
        <v>N/A</v>
      </c>
      <c r="R125" s="1035" t="str">
        <f t="shared" si="57"/>
        <v>N/A</v>
      </c>
    </row>
    <row r="126" spans="1:19" x14ac:dyDescent="0.2">
      <c r="C126" s="1037"/>
      <c r="D126" s="1037"/>
      <c r="E126" s="1038"/>
      <c r="F126" s="991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991"/>
      <c r="H127" s="1016">
        <f>H119</f>
        <v>2011</v>
      </c>
      <c r="I127" s="1016">
        <f t="shared" ref="I127:R127" si="58">I119</f>
        <v>2012</v>
      </c>
      <c r="J127" s="1016">
        <f t="shared" si="58"/>
        <v>2013</v>
      </c>
      <c r="K127" s="1016">
        <f t="shared" si="58"/>
        <v>2014</v>
      </c>
      <c r="L127" s="1016">
        <f t="shared" si="58"/>
        <v>2015</v>
      </c>
      <c r="M127" s="1016">
        <f t="shared" si="58"/>
        <v>2016</v>
      </c>
      <c r="N127" s="1016">
        <f t="shared" si="58"/>
        <v>2017</v>
      </c>
      <c r="O127" s="1016">
        <f t="shared" si="58"/>
        <v>2018</v>
      </c>
      <c r="P127" s="1016">
        <f t="shared" si="58"/>
        <v>2019</v>
      </c>
      <c r="Q127" s="1016">
        <f t="shared" si="58"/>
        <v>2020</v>
      </c>
      <c r="R127" s="1016">
        <f t="shared" si="58"/>
        <v>2021</v>
      </c>
    </row>
    <row r="128" spans="1:19" x14ac:dyDescent="0.2">
      <c r="G128" s="1042" t="s">
        <v>331</v>
      </c>
      <c r="H128" s="1043">
        <f t="shared" ref="H128:R128" si="59">H33</f>
        <v>768.02200000000005</v>
      </c>
      <c r="I128" s="1043">
        <f t="shared" si="59"/>
        <v>996.30099999999993</v>
      </c>
      <c r="J128" s="1043">
        <f t="shared" si="59"/>
        <v>2074.3380000000002</v>
      </c>
      <c r="K128" s="1043">
        <f t="shared" si="59"/>
        <v>2481.6</v>
      </c>
      <c r="L128" s="1043">
        <f t="shared" si="59"/>
        <v>2603.1509999999998</v>
      </c>
      <c r="M128" s="1043">
        <f t="shared" si="59"/>
        <v>3468</v>
      </c>
      <c r="N128" s="1043">
        <f t="shared" si="59"/>
        <v>3344</v>
      </c>
      <c r="O128" s="1043">
        <f t="shared" si="59"/>
        <v>3607</v>
      </c>
      <c r="P128" s="1043">
        <f t="shared" si="59"/>
        <v>3779</v>
      </c>
      <c r="Q128" s="1043">
        <f t="shared" si="59"/>
        <v>4017</v>
      </c>
      <c r="R128" s="1043">
        <f t="shared" si="59"/>
        <v>4230</v>
      </c>
    </row>
    <row r="129" spans="3:19" x14ac:dyDescent="0.2">
      <c r="G129" s="1042" t="s">
        <v>332</v>
      </c>
      <c r="H129" s="1043">
        <f t="shared" ref="H129:R130" si="60">H35</f>
        <v>571.42100000000005</v>
      </c>
      <c r="I129" s="1043">
        <f t="shared" si="60"/>
        <v>797.13199999999995</v>
      </c>
      <c r="J129" s="1043">
        <f t="shared" si="60"/>
        <v>862.57100000000003</v>
      </c>
      <c r="K129" s="1043">
        <f t="shared" si="60"/>
        <v>612.62</v>
      </c>
      <c r="L129" s="1043">
        <f t="shared" si="60"/>
        <v>650.02200000000005</v>
      </c>
      <c r="M129" s="1043">
        <f t="shared" si="60"/>
        <v>647</v>
      </c>
      <c r="N129" s="1043">
        <f t="shared" si="60"/>
        <v>809</v>
      </c>
      <c r="O129" s="1043">
        <f t="shared" si="60"/>
        <v>945</v>
      </c>
      <c r="P129" s="1043">
        <f t="shared" si="60"/>
        <v>993</v>
      </c>
      <c r="Q129" s="1043">
        <f t="shared" si="60"/>
        <v>1000</v>
      </c>
      <c r="R129" s="1043">
        <f t="shared" si="60"/>
        <v>1030</v>
      </c>
    </row>
    <row r="130" spans="3:19" x14ac:dyDescent="0.2">
      <c r="G130" s="1042" t="s">
        <v>333</v>
      </c>
      <c r="H130" s="1043">
        <f t="shared" si="60"/>
        <v>196.601</v>
      </c>
      <c r="I130" s="1043">
        <f t="shared" si="60"/>
        <v>199.16900000000001</v>
      </c>
      <c r="J130" s="1043">
        <f t="shared" si="60"/>
        <v>1211.7670000000001</v>
      </c>
      <c r="K130" s="1043">
        <f t="shared" si="60"/>
        <v>1868.98</v>
      </c>
      <c r="L130" s="1043">
        <f t="shared" si="60"/>
        <v>1949.837</v>
      </c>
      <c r="M130" s="1043">
        <f t="shared" si="60"/>
        <v>2821</v>
      </c>
      <c r="N130" s="1043">
        <f t="shared" si="60"/>
        <v>2535</v>
      </c>
      <c r="O130" s="1043">
        <f t="shared" si="60"/>
        <v>2662</v>
      </c>
      <c r="P130" s="1043">
        <f t="shared" si="60"/>
        <v>2786</v>
      </c>
      <c r="Q130" s="1043">
        <f t="shared" si="60"/>
        <v>3017</v>
      </c>
      <c r="R130" s="1043">
        <f t="shared" si="60"/>
        <v>3200</v>
      </c>
    </row>
    <row r="131" spans="3:19" x14ac:dyDescent="0.2">
      <c r="G131" s="1042" t="s">
        <v>334</v>
      </c>
      <c r="H131" s="1043">
        <f t="shared" ref="H131:R131" si="61">H38+H41</f>
        <v>-2084.0060000000003</v>
      </c>
      <c r="I131" s="1043">
        <f t="shared" si="61"/>
        <v>-2304.2129999999997</v>
      </c>
      <c r="J131" s="1043">
        <f t="shared" si="61"/>
        <v>-2548.7400000000002</v>
      </c>
      <c r="K131" s="1043">
        <f t="shared" si="61"/>
        <v>-2339.2849999999999</v>
      </c>
      <c r="L131" s="1043">
        <f t="shared" si="61"/>
        <v>-2665.5070000000001</v>
      </c>
      <c r="M131" s="1043">
        <f t="shared" si="61"/>
        <v>-2835</v>
      </c>
      <c r="N131" s="1043">
        <f t="shared" si="61"/>
        <v>-3342</v>
      </c>
      <c r="O131" s="1043">
        <f t="shared" si="61"/>
        <v>-3605</v>
      </c>
      <c r="P131" s="1043">
        <f t="shared" si="61"/>
        <v>-3776</v>
      </c>
      <c r="Q131" s="1043">
        <f t="shared" si="61"/>
        <v>-4017</v>
      </c>
      <c r="R131" s="1043">
        <f t="shared" si="61"/>
        <v>-4230</v>
      </c>
    </row>
    <row r="132" spans="3:19" x14ac:dyDescent="0.2">
      <c r="G132" s="1042" t="s">
        <v>335</v>
      </c>
      <c r="H132" s="1043">
        <f t="shared" ref="H132:R132" si="62">H41</f>
        <v>-2084.0060000000003</v>
      </c>
      <c r="I132" s="1043">
        <f t="shared" si="62"/>
        <v>-2304.2129999999997</v>
      </c>
      <c r="J132" s="1043">
        <f t="shared" si="62"/>
        <v>-2224.7350000000001</v>
      </c>
      <c r="K132" s="1043">
        <f t="shared" si="62"/>
        <v>-2339.2849999999999</v>
      </c>
      <c r="L132" s="1043">
        <f t="shared" si="62"/>
        <v>-2665.5070000000001</v>
      </c>
      <c r="M132" s="1043">
        <f t="shared" si="62"/>
        <v>-2835</v>
      </c>
      <c r="N132" s="1043">
        <f t="shared" si="62"/>
        <v>-3342</v>
      </c>
      <c r="O132" s="1043">
        <f t="shared" si="62"/>
        <v>-3605</v>
      </c>
      <c r="P132" s="1043">
        <f t="shared" si="62"/>
        <v>-3776</v>
      </c>
      <c r="Q132" s="1043">
        <f t="shared" si="62"/>
        <v>-4017</v>
      </c>
      <c r="R132" s="1043">
        <f t="shared" si="62"/>
        <v>-4230</v>
      </c>
    </row>
    <row r="133" spans="3:19" x14ac:dyDescent="0.2">
      <c r="G133" s="1042" t="s">
        <v>336</v>
      </c>
      <c r="H133" s="1043">
        <f t="shared" ref="H133:R133" si="63">H38</f>
        <v>0</v>
      </c>
      <c r="I133" s="1043">
        <f t="shared" si="63"/>
        <v>0</v>
      </c>
      <c r="J133" s="1043">
        <f t="shared" si="63"/>
        <v>-324.005</v>
      </c>
      <c r="K133" s="1043">
        <f t="shared" si="63"/>
        <v>0</v>
      </c>
      <c r="L133" s="1043">
        <f t="shared" si="63"/>
        <v>0</v>
      </c>
      <c r="M133" s="1043">
        <f t="shared" si="63"/>
        <v>0</v>
      </c>
      <c r="N133" s="1043">
        <f t="shared" si="63"/>
        <v>0</v>
      </c>
      <c r="O133" s="1043">
        <f t="shared" si="63"/>
        <v>0</v>
      </c>
      <c r="P133" s="1043">
        <f t="shared" si="63"/>
        <v>0</v>
      </c>
      <c r="Q133" s="1043">
        <f t="shared" si="63"/>
        <v>0</v>
      </c>
      <c r="R133" s="1043">
        <f t="shared" si="63"/>
        <v>0</v>
      </c>
    </row>
    <row r="134" spans="3:19" x14ac:dyDescent="0.2">
      <c r="G134" s="1042" t="s">
        <v>337</v>
      </c>
      <c r="H134" s="1043">
        <f t="shared" ref="H134:R134" si="64">H46</f>
        <v>-1315.9840000000004</v>
      </c>
      <c r="I134" s="1043">
        <f t="shared" si="64"/>
        <v>-1307.9119999999998</v>
      </c>
      <c r="J134" s="1043">
        <f t="shared" si="64"/>
        <v>-474.40200000000004</v>
      </c>
      <c r="K134" s="1043">
        <f t="shared" si="64"/>
        <v>142.31500000000005</v>
      </c>
      <c r="L134" s="1043">
        <f t="shared" si="64"/>
        <v>-62.356000000000222</v>
      </c>
      <c r="M134" s="1043">
        <f t="shared" si="64"/>
        <v>633</v>
      </c>
      <c r="N134" s="1043">
        <f t="shared" si="64"/>
        <v>2</v>
      </c>
      <c r="O134" s="1043">
        <f t="shared" si="64"/>
        <v>2</v>
      </c>
      <c r="P134" s="1043">
        <f t="shared" si="64"/>
        <v>3</v>
      </c>
      <c r="Q134" s="1043">
        <f t="shared" si="64"/>
        <v>0</v>
      </c>
      <c r="R134" s="1043">
        <f t="shared" si="64"/>
        <v>0</v>
      </c>
    </row>
    <row r="135" spans="3:19" x14ac:dyDescent="0.2">
      <c r="G135" s="1042" t="s">
        <v>338</v>
      </c>
      <c r="H135" s="1043">
        <f t="shared" ref="H135:R135" si="65">H51</f>
        <v>-1316.8210000000004</v>
      </c>
      <c r="I135" s="1043">
        <f t="shared" si="65"/>
        <v>-1308.4499999999998</v>
      </c>
      <c r="J135" s="1043">
        <f t="shared" si="65"/>
        <v>-474.50600000000003</v>
      </c>
      <c r="K135" s="1043">
        <f t="shared" si="65"/>
        <v>142.21000000000006</v>
      </c>
      <c r="L135" s="1043">
        <f t="shared" si="65"/>
        <v>-61.831000000000223</v>
      </c>
      <c r="M135" s="1043">
        <f t="shared" si="65"/>
        <v>632</v>
      </c>
      <c r="N135" s="1043">
        <f t="shared" si="65"/>
        <v>0</v>
      </c>
      <c r="O135" s="1043">
        <f t="shared" si="65"/>
        <v>0</v>
      </c>
      <c r="P135" s="1043">
        <f t="shared" si="65"/>
        <v>0</v>
      </c>
      <c r="Q135" s="1043">
        <f t="shared" si="65"/>
        <v>0</v>
      </c>
      <c r="R135" s="1043">
        <f t="shared" si="65"/>
        <v>0</v>
      </c>
    </row>
    <row r="136" spans="3:19" x14ac:dyDescent="0.2">
      <c r="G136" s="1042" t="s">
        <v>339</v>
      </c>
      <c r="H136" s="1043">
        <f t="shared" ref="H136:R137" si="66">H4</f>
        <v>6569.07</v>
      </c>
      <c r="I136" s="1043">
        <f t="shared" si="66"/>
        <v>148.16399999999999</v>
      </c>
      <c r="J136" s="1043">
        <f t="shared" si="66"/>
        <v>496.83599999999996</v>
      </c>
      <c r="K136" s="1043">
        <f t="shared" si="66"/>
        <v>375.57899999999995</v>
      </c>
      <c r="L136" s="1043">
        <f t="shared" si="66"/>
        <v>339.23899999999998</v>
      </c>
      <c r="M136" s="1043">
        <f t="shared" si="66"/>
        <v>1116</v>
      </c>
      <c r="N136" s="1043">
        <f t="shared" si="66"/>
        <v>970</v>
      </c>
      <c r="O136" s="1043">
        <f t="shared" si="66"/>
        <v>989</v>
      </c>
      <c r="P136" s="1043">
        <f t="shared" si="66"/>
        <v>969</v>
      </c>
      <c r="Q136" s="1043">
        <f t="shared" si="66"/>
        <v>919</v>
      </c>
      <c r="R136" s="1043">
        <f t="shared" si="66"/>
        <v>899</v>
      </c>
    </row>
    <row r="137" spans="3:19" x14ac:dyDescent="0.2">
      <c r="G137" s="1042" t="s">
        <v>340</v>
      </c>
      <c r="H137" s="1043">
        <f t="shared" si="66"/>
        <v>117.61600000000001</v>
      </c>
      <c r="I137" s="1043">
        <f t="shared" si="66"/>
        <v>57.07</v>
      </c>
      <c r="J137" s="1043">
        <f t="shared" si="66"/>
        <v>48.774999999999999</v>
      </c>
      <c r="K137" s="1043">
        <f t="shared" si="66"/>
        <v>44.462999999999994</v>
      </c>
      <c r="L137" s="1043">
        <f t="shared" si="66"/>
        <v>91.704999999999998</v>
      </c>
      <c r="M137" s="1043">
        <f t="shared" si="66"/>
        <v>924</v>
      </c>
      <c r="N137" s="1043">
        <f t="shared" si="66"/>
        <v>257</v>
      </c>
      <c r="O137" s="1043">
        <f t="shared" si="66"/>
        <v>371</v>
      </c>
      <c r="P137" s="1043">
        <f t="shared" si="66"/>
        <v>309</v>
      </c>
      <c r="Q137" s="1043">
        <f t="shared" si="66"/>
        <v>349</v>
      </c>
      <c r="R137" s="1043">
        <f t="shared" si="66"/>
        <v>419</v>
      </c>
    </row>
    <row r="138" spans="3:19" x14ac:dyDescent="0.2">
      <c r="G138" s="1042" t="s">
        <v>341</v>
      </c>
      <c r="H138" s="1043">
        <f t="shared" ref="H138:R138" si="67">H10</f>
        <v>6451.4539999999997</v>
      </c>
      <c r="I138" s="1043">
        <f t="shared" si="67"/>
        <v>91.093999999999994</v>
      </c>
      <c r="J138" s="1043">
        <f t="shared" si="67"/>
        <v>448.06099999999998</v>
      </c>
      <c r="K138" s="1043">
        <f t="shared" si="67"/>
        <v>331.11599999999999</v>
      </c>
      <c r="L138" s="1043">
        <f t="shared" si="67"/>
        <v>247.53399999999999</v>
      </c>
      <c r="M138" s="1043">
        <f t="shared" si="67"/>
        <v>192</v>
      </c>
      <c r="N138" s="1043">
        <f t="shared" si="67"/>
        <v>713</v>
      </c>
      <c r="O138" s="1043">
        <f t="shared" si="67"/>
        <v>618</v>
      </c>
      <c r="P138" s="1043">
        <f t="shared" si="67"/>
        <v>660</v>
      </c>
      <c r="Q138" s="1043">
        <f t="shared" si="67"/>
        <v>570</v>
      </c>
      <c r="R138" s="1043">
        <f t="shared" si="67"/>
        <v>480</v>
      </c>
    </row>
    <row r="139" spans="3:19" x14ac:dyDescent="0.2">
      <c r="G139" s="1042" t="s">
        <v>342</v>
      </c>
      <c r="H139" s="1043">
        <f t="shared" ref="H139:R140" si="68">H19</f>
        <v>301.96999999999997</v>
      </c>
      <c r="I139" s="1043">
        <f t="shared" si="68"/>
        <v>402.916</v>
      </c>
      <c r="J139" s="1043">
        <f t="shared" si="68"/>
        <v>440.21199999999999</v>
      </c>
      <c r="K139" s="1043">
        <f t="shared" si="68"/>
        <v>176.745</v>
      </c>
      <c r="L139" s="1043">
        <f t="shared" si="68"/>
        <v>202.23700000000002</v>
      </c>
      <c r="M139" s="1043">
        <f t="shared" si="68"/>
        <v>347</v>
      </c>
      <c r="N139" s="1043">
        <f t="shared" si="68"/>
        <v>201</v>
      </c>
      <c r="O139" s="1043">
        <f t="shared" si="68"/>
        <v>220</v>
      </c>
      <c r="P139" s="1043">
        <f t="shared" si="68"/>
        <v>200</v>
      </c>
      <c r="Q139" s="1043">
        <f t="shared" si="68"/>
        <v>150</v>
      </c>
      <c r="R139" s="1043">
        <f t="shared" si="68"/>
        <v>130</v>
      </c>
    </row>
    <row r="140" spans="3:19" x14ac:dyDescent="0.2">
      <c r="G140" s="1042" t="s">
        <v>343</v>
      </c>
      <c r="H140" s="1043">
        <f t="shared" si="68"/>
        <v>294.89400000000001</v>
      </c>
      <c r="I140" s="1043">
        <f t="shared" si="68"/>
        <v>402.916</v>
      </c>
      <c r="J140" s="1043">
        <f t="shared" si="68"/>
        <v>436.32299999999998</v>
      </c>
      <c r="K140" s="1043">
        <f t="shared" si="68"/>
        <v>176.745</v>
      </c>
      <c r="L140" s="1043">
        <f t="shared" si="68"/>
        <v>202.23699999999999</v>
      </c>
      <c r="M140" s="1043">
        <f t="shared" si="68"/>
        <v>246</v>
      </c>
      <c r="N140" s="1043">
        <f t="shared" si="68"/>
        <v>201</v>
      </c>
      <c r="O140" s="1043">
        <f t="shared" si="68"/>
        <v>0</v>
      </c>
      <c r="P140" s="1043">
        <f t="shared" si="68"/>
        <v>0</v>
      </c>
      <c r="Q140" s="1043">
        <f t="shared" si="68"/>
        <v>0</v>
      </c>
      <c r="R140" s="1043">
        <f t="shared" si="68"/>
        <v>0</v>
      </c>
    </row>
    <row r="141" spans="3:19" x14ac:dyDescent="0.2">
      <c r="G141" s="1042" t="s">
        <v>344</v>
      </c>
      <c r="H141" s="1043">
        <f t="shared" ref="H141:R141" si="69">H24</f>
        <v>10.698</v>
      </c>
      <c r="I141" s="1043">
        <f t="shared" si="69"/>
        <v>6.9950000000000001</v>
      </c>
      <c r="J141" s="1043">
        <f t="shared" si="69"/>
        <v>4.9429999999999996</v>
      </c>
      <c r="K141" s="1043">
        <f t="shared" si="69"/>
        <v>3.8889999999999998</v>
      </c>
      <c r="L141" s="1043">
        <f t="shared" si="69"/>
        <v>0</v>
      </c>
      <c r="M141" s="1043">
        <f t="shared" si="69"/>
        <v>4</v>
      </c>
      <c r="N141" s="1043">
        <f t="shared" si="69"/>
        <v>0</v>
      </c>
      <c r="O141" s="1043">
        <f t="shared" si="69"/>
        <v>0</v>
      </c>
      <c r="P141" s="1043">
        <f t="shared" si="69"/>
        <v>0</v>
      </c>
      <c r="Q141" s="1043">
        <f t="shared" si="69"/>
        <v>0</v>
      </c>
      <c r="R141" s="1043">
        <f t="shared" si="69"/>
        <v>0</v>
      </c>
    </row>
    <row r="142" spans="3:19" x14ac:dyDescent="0.2">
      <c r="G142" s="1042" t="s">
        <v>345</v>
      </c>
      <c r="H142" s="1043">
        <f t="shared" ref="H142:R142" si="70">H27</f>
        <v>6267.1</v>
      </c>
      <c r="I142" s="1043">
        <f t="shared" si="70"/>
        <v>-254.75199999999995</v>
      </c>
      <c r="J142" s="1043">
        <f t="shared" si="70"/>
        <v>56.625</v>
      </c>
      <c r="K142" s="1043">
        <f t="shared" si="70"/>
        <v>198.83500000000001</v>
      </c>
      <c r="L142" s="1043">
        <f t="shared" si="70"/>
        <v>137.00400000000002</v>
      </c>
      <c r="M142" s="1043">
        <f t="shared" si="70"/>
        <v>769</v>
      </c>
      <c r="N142" s="1043">
        <f t="shared" si="70"/>
        <v>769</v>
      </c>
      <c r="O142" s="1043">
        <f t="shared" si="70"/>
        <v>769</v>
      </c>
      <c r="P142" s="1043">
        <f t="shared" si="70"/>
        <v>769</v>
      </c>
      <c r="Q142" s="1043">
        <f t="shared" si="70"/>
        <v>769</v>
      </c>
      <c r="R142" s="1043">
        <f t="shared" si="70"/>
        <v>769</v>
      </c>
    </row>
    <row r="143" spans="3:19" x14ac:dyDescent="0.2">
      <c r="C143" s="1037"/>
      <c r="D143" s="1037"/>
      <c r="E143" s="103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99:Q99">
    <cfRule type="cellIs" dxfId="695" priority="47" operator="greaterThan">
      <formula>$E$99</formula>
    </cfRule>
    <cfRule type="cellIs" dxfId="694" priority="48" operator="lessThanOrEqual">
      <formula>$E$99</formula>
    </cfRule>
  </conditionalFormatting>
  <conditionalFormatting sqref="H102:Q102">
    <cfRule type="cellIs" dxfId="693" priority="45" stopIfTrue="1" operator="greaterThanOrEqual">
      <formula>$E$102</formula>
    </cfRule>
    <cfRule type="cellIs" dxfId="692" priority="46" stopIfTrue="1" operator="lessThan">
      <formula>$E$102</formula>
    </cfRule>
  </conditionalFormatting>
  <conditionalFormatting sqref="H104:Q104">
    <cfRule type="cellIs" dxfId="691" priority="43" stopIfTrue="1" operator="lessThan">
      <formula>$E$104</formula>
    </cfRule>
    <cfRule type="cellIs" dxfId="690" priority="44" stopIfTrue="1" operator="greaterThanOrEqual">
      <formula>$E$104</formula>
    </cfRule>
  </conditionalFormatting>
  <conditionalFormatting sqref="H103:Q103">
    <cfRule type="cellIs" dxfId="689" priority="41" stopIfTrue="1" operator="greaterThan">
      <formula>$E$103</formula>
    </cfRule>
    <cfRule type="cellIs" dxfId="688" priority="42" stopIfTrue="1" operator="lessThanOrEqual">
      <formula>$E$103</formula>
    </cfRule>
  </conditionalFormatting>
  <conditionalFormatting sqref="H93:Q93">
    <cfRule type="cellIs" dxfId="687" priority="53" stopIfTrue="1" operator="lessThan">
      <formula>$D$93</formula>
    </cfRule>
    <cfRule type="cellIs" dxfId="686" priority="54" stopIfTrue="1" operator="between">
      <formula>$D$93</formula>
      <formula>$E$93</formula>
    </cfRule>
    <cfRule type="cellIs" dxfId="685" priority="55" stopIfTrue="1" operator="greaterThan">
      <formula>$E$93</formula>
    </cfRule>
  </conditionalFormatting>
  <conditionalFormatting sqref="H114:Q114">
    <cfRule type="cellIs" dxfId="684" priority="56" stopIfTrue="1" operator="lessThan">
      <formula>$E$114</formula>
    </cfRule>
    <cfRule type="cellIs" dxfId="683" priority="57" stopIfTrue="1" operator="between">
      <formula>$D$114</formula>
      <formula>$E$114</formula>
    </cfRule>
    <cfRule type="cellIs" dxfId="682" priority="58" stopIfTrue="1" operator="greaterThanOrEqual">
      <formula>$D$114</formula>
    </cfRule>
  </conditionalFormatting>
  <conditionalFormatting sqref="H116:Q116">
    <cfRule type="cellIs" dxfId="681" priority="51" stopIfTrue="1" operator="greaterThan">
      <formula>$E$116</formula>
    </cfRule>
    <cfRule type="cellIs" dxfId="680" priority="52" stopIfTrue="1" operator="lessThanOrEqual">
      <formula>$E$116</formula>
    </cfRule>
  </conditionalFormatting>
  <conditionalFormatting sqref="H118:Q118">
    <cfRule type="cellIs" dxfId="679" priority="49" stopIfTrue="1" operator="lessThanOrEqual">
      <formula>$E$118</formula>
    </cfRule>
    <cfRule type="cellIs" dxfId="678" priority="50" stopIfTrue="1" operator="greaterThan">
      <formula>$E$118</formula>
    </cfRule>
  </conditionalFormatting>
  <conditionalFormatting sqref="H100:Q100">
    <cfRule type="cellIs" dxfId="677" priority="30" stopIfTrue="1" operator="between">
      <formula>$D$100</formula>
      <formula>$E$100</formula>
    </cfRule>
    <cfRule type="cellIs" dxfId="676" priority="39" stopIfTrue="1" operator="lessThanOrEqual">
      <formula>$D$100</formula>
    </cfRule>
    <cfRule type="cellIs" dxfId="675" priority="40" stopIfTrue="1" operator="greaterThan">
      <formula>$E$100</formula>
    </cfRule>
  </conditionalFormatting>
  <conditionalFormatting sqref="H117:Q117">
    <cfRule type="cellIs" dxfId="674" priority="37" stopIfTrue="1" operator="greaterThan">
      <formula>$E$117</formula>
    </cfRule>
    <cfRule type="cellIs" dxfId="673" priority="38" stopIfTrue="1" operator="lessThanOrEqual">
      <formula>$E$117</formula>
    </cfRule>
  </conditionalFormatting>
  <conditionalFormatting sqref="H107:Q107">
    <cfRule type="cellIs" dxfId="672" priority="35" stopIfTrue="1" operator="greaterThan">
      <formula>$E$107</formula>
    </cfRule>
    <cfRule type="cellIs" dxfId="671" priority="36" stopIfTrue="1" operator="lessThanOrEqual">
      <formula>$E$107</formula>
    </cfRule>
  </conditionalFormatting>
  <conditionalFormatting sqref="H108:Q108">
    <cfRule type="cellIs" dxfId="670" priority="33" stopIfTrue="1" operator="lessThan">
      <formula>$E$108</formula>
    </cfRule>
    <cfRule type="cellIs" dxfId="669" priority="34" stopIfTrue="1" operator="greaterThanOrEqual">
      <formula>$E$108</formula>
    </cfRule>
  </conditionalFormatting>
  <conditionalFormatting sqref="H90:Q90">
    <cfRule type="cellIs" dxfId="668" priority="31" stopIfTrue="1" operator="lessThan">
      <formula>$E$90</formula>
    </cfRule>
    <cfRule type="cellIs" dxfId="667" priority="32" stopIfTrue="1" operator="greaterThan">
      <formula>$E$90</formula>
    </cfRule>
  </conditionalFormatting>
  <conditionalFormatting sqref="R99">
    <cfRule type="cellIs" dxfId="666" priority="18" operator="greaterThan">
      <formula>$E$99</formula>
    </cfRule>
    <cfRule type="cellIs" dxfId="665" priority="19" operator="lessThanOrEqual">
      <formula>$E$99</formula>
    </cfRule>
  </conditionalFormatting>
  <conditionalFormatting sqref="R102">
    <cfRule type="cellIs" dxfId="664" priority="16" stopIfTrue="1" operator="greaterThanOrEqual">
      <formula>$E$102</formula>
    </cfRule>
    <cfRule type="cellIs" dxfId="663" priority="17" stopIfTrue="1" operator="lessThan">
      <formula>$E$102</formula>
    </cfRule>
  </conditionalFormatting>
  <conditionalFormatting sqref="R104">
    <cfRule type="cellIs" dxfId="662" priority="14" stopIfTrue="1" operator="lessThan">
      <formula>$E$104</formula>
    </cfRule>
    <cfRule type="cellIs" dxfId="661" priority="15" stopIfTrue="1" operator="greaterThanOrEqual">
      <formula>$E$104</formula>
    </cfRule>
  </conditionalFormatting>
  <conditionalFormatting sqref="R103">
    <cfRule type="cellIs" dxfId="660" priority="12" stopIfTrue="1" operator="greaterThan">
      <formula>$E$103</formula>
    </cfRule>
    <cfRule type="cellIs" dxfId="659" priority="13" stopIfTrue="1" operator="lessThanOrEqual">
      <formula>$E$103</formula>
    </cfRule>
  </conditionalFormatting>
  <conditionalFormatting sqref="R93">
    <cfRule type="cellIs" dxfId="658" priority="24" stopIfTrue="1" operator="lessThan">
      <formula>$D$93</formula>
    </cfRule>
    <cfRule type="cellIs" dxfId="657" priority="25" stopIfTrue="1" operator="between">
      <formula>$D$93</formula>
      <formula>$E$93</formula>
    </cfRule>
    <cfRule type="cellIs" dxfId="656" priority="26" stopIfTrue="1" operator="greaterThan">
      <formula>$E$93</formula>
    </cfRule>
  </conditionalFormatting>
  <conditionalFormatting sqref="R114">
    <cfRule type="cellIs" dxfId="655" priority="27" stopIfTrue="1" operator="lessThan">
      <formula>$E$114</formula>
    </cfRule>
    <cfRule type="cellIs" dxfId="654" priority="28" stopIfTrue="1" operator="between">
      <formula>$D$114</formula>
      <formula>$E$114</formula>
    </cfRule>
    <cfRule type="cellIs" dxfId="653" priority="29" stopIfTrue="1" operator="greaterThanOrEqual">
      <formula>$D$114</formula>
    </cfRule>
  </conditionalFormatting>
  <conditionalFormatting sqref="R116">
    <cfRule type="cellIs" dxfId="652" priority="22" stopIfTrue="1" operator="greaterThan">
      <formula>$E$116</formula>
    </cfRule>
    <cfRule type="cellIs" dxfId="651" priority="23" stopIfTrue="1" operator="lessThanOrEqual">
      <formula>$E$116</formula>
    </cfRule>
  </conditionalFormatting>
  <conditionalFormatting sqref="R118">
    <cfRule type="cellIs" dxfId="650" priority="20" stopIfTrue="1" operator="lessThanOrEqual">
      <formula>$E$118</formula>
    </cfRule>
    <cfRule type="cellIs" dxfId="649" priority="21" stopIfTrue="1" operator="greaterThan">
      <formula>$E$118</formula>
    </cfRule>
  </conditionalFormatting>
  <conditionalFormatting sqref="R100">
    <cfRule type="cellIs" dxfId="648" priority="1" stopIfTrue="1" operator="between">
      <formula>$D$100</formula>
      <formula>$E$100</formula>
    </cfRule>
    <cfRule type="cellIs" dxfId="647" priority="10" stopIfTrue="1" operator="lessThanOrEqual">
      <formula>$D$100</formula>
    </cfRule>
    <cfRule type="cellIs" dxfId="646" priority="11" stopIfTrue="1" operator="greaterThan">
      <formula>$E$100</formula>
    </cfRule>
  </conditionalFormatting>
  <conditionalFormatting sqref="R117">
    <cfRule type="cellIs" dxfId="645" priority="8" stopIfTrue="1" operator="greaterThan">
      <formula>$E$117</formula>
    </cfRule>
    <cfRule type="cellIs" dxfId="644" priority="9" stopIfTrue="1" operator="lessThanOrEqual">
      <formula>$E$117</formula>
    </cfRule>
  </conditionalFormatting>
  <conditionalFormatting sqref="R107">
    <cfRule type="cellIs" dxfId="643" priority="6" stopIfTrue="1" operator="greaterThan">
      <formula>$E$107</formula>
    </cfRule>
    <cfRule type="cellIs" dxfId="642" priority="7" stopIfTrue="1" operator="lessThanOrEqual">
      <formula>$E$107</formula>
    </cfRule>
  </conditionalFormatting>
  <conditionalFormatting sqref="R108">
    <cfRule type="cellIs" dxfId="641" priority="4" stopIfTrue="1" operator="lessThan">
      <formula>$E$108</formula>
    </cfRule>
    <cfRule type="cellIs" dxfId="640" priority="5" stopIfTrue="1" operator="greaterThanOrEqual">
      <formula>$E$108</formula>
    </cfRule>
  </conditionalFormatting>
  <conditionalFormatting sqref="R90">
    <cfRule type="cellIs" dxfId="639" priority="2" stopIfTrue="1" operator="lessThan">
      <formula>$E$90</formula>
    </cfRule>
    <cfRule type="cellIs" dxfId="638" priority="3" stopIfTrue="1" operator="greaterThan">
      <formula>$E$90</formula>
    </cfRule>
  </conditionalFormatting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zoomScaleNormal="100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21.570312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21.570312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21.570312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21.570312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21.570312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21.570312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21.570312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21.570312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21.570312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21.570312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21.570312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21.570312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21.570312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21.570312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21.570312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21.570312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21.570312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21.570312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21.570312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21.570312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21.570312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21.570312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21.570312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21.570312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21.570312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21.570312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21.570312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21.570312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21.570312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21.570312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21.570312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21.570312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21.570312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21.570312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21.570312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21.570312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21.570312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21.570312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21.570312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21.570312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21.570312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21.570312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21.570312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21.570312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21.570312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21.570312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21.570312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21.570312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21.570312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21.570312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21.570312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21.570312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21.570312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21.570312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21.570312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21.570312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21.570312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21.570312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21.570312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21.570312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21.570312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21.570312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21.570312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21.570312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634" t="s">
        <v>468</v>
      </c>
      <c r="H2" s="635" t="s">
        <v>469</v>
      </c>
      <c r="I2" s="636"/>
      <c r="J2" s="636"/>
      <c r="K2" s="1288" t="s">
        <v>6</v>
      </c>
      <c r="L2" s="1289"/>
      <c r="M2" s="1290" t="s">
        <v>470</v>
      </c>
      <c r="N2" s="1291"/>
      <c r="O2" s="1291"/>
      <c r="P2" s="1291"/>
      <c r="Q2" s="1291"/>
      <c r="R2" s="1292"/>
    </row>
    <row r="3" spans="1:18" x14ac:dyDescent="0.2">
      <c r="A3" s="1"/>
      <c r="B3" s="10"/>
      <c r="C3" s="3"/>
      <c r="D3" s="3"/>
      <c r="E3" s="1"/>
      <c r="F3" s="1"/>
      <c r="G3" s="637" t="s">
        <v>7</v>
      </c>
      <c r="H3" s="208">
        <v>40908</v>
      </c>
      <c r="I3" s="208">
        <v>41274</v>
      </c>
      <c r="J3" s="208">
        <v>41639</v>
      </c>
      <c r="K3" s="208">
        <v>42004</v>
      </c>
      <c r="L3" s="638">
        <v>42369</v>
      </c>
      <c r="M3" s="638">
        <v>42735</v>
      </c>
      <c r="N3" s="638">
        <v>43100</v>
      </c>
      <c r="O3" s="638">
        <v>43465</v>
      </c>
      <c r="P3" s="638">
        <v>43830</v>
      </c>
      <c r="Q3" s="638">
        <v>44196</v>
      </c>
      <c r="R3" s="638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639" t="s">
        <v>9</v>
      </c>
      <c r="H4" s="640">
        <f t="shared" ref="H4:R4" si="0">H5+H10</f>
        <v>0</v>
      </c>
      <c r="I4" s="640">
        <f t="shared" si="0"/>
        <v>0</v>
      </c>
      <c r="J4" s="640">
        <f t="shared" si="0"/>
        <v>0</v>
      </c>
      <c r="K4" s="640">
        <f t="shared" si="0"/>
        <v>0</v>
      </c>
      <c r="L4" s="640">
        <f t="shared" si="0"/>
        <v>246.47499999999999</v>
      </c>
      <c r="M4" s="640">
        <f>M5+M10</f>
        <v>167.024</v>
      </c>
      <c r="N4" s="640">
        <f t="shared" si="0"/>
        <v>150</v>
      </c>
      <c r="O4" s="640">
        <f t="shared" si="0"/>
        <v>152</v>
      </c>
      <c r="P4" s="640">
        <f t="shared" si="0"/>
        <v>153</v>
      </c>
      <c r="Q4" s="640">
        <f t="shared" si="0"/>
        <v>154</v>
      </c>
      <c r="R4" s="640">
        <f t="shared" si="0"/>
        <v>153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640">
        <f t="shared" ref="H5:Q5" si="1">SUM(H6:H9)</f>
        <v>0</v>
      </c>
      <c r="I5" s="640">
        <f t="shared" si="1"/>
        <v>0</v>
      </c>
      <c r="J5" s="640">
        <f t="shared" si="1"/>
        <v>0</v>
      </c>
      <c r="K5" s="640">
        <f t="shared" si="1"/>
        <v>0</v>
      </c>
      <c r="L5" s="640">
        <f t="shared" si="1"/>
        <v>65.94</v>
      </c>
      <c r="M5" s="640">
        <f t="shared" si="1"/>
        <v>84.242999999999995</v>
      </c>
      <c r="N5" s="640">
        <f t="shared" si="1"/>
        <v>86</v>
      </c>
      <c r="O5" s="640">
        <f t="shared" si="1"/>
        <v>92</v>
      </c>
      <c r="P5" s="640">
        <f t="shared" si="1"/>
        <v>97</v>
      </c>
      <c r="Q5" s="640">
        <f t="shared" si="1"/>
        <v>102</v>
      </c>
      <c r="R5" s="640">
        <f>SUM(R6:R9)</f>
        <v>105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641">
        <v>0</v>
      </c>
      <c r="I6" s="641">
        <v>0</v>
      </c>
      <c r="J6" s="641">
        <v>0</v>
      </c>
      <c r="K6" s="641">
        <v>0</v>
      </c>
      <c r="L6" s="641">
        <v>44.189</v>
      </c>
      <c r="M6" s="641">
        <v>66.673000000000002</v>
      </c>
      <c r="N6" s="641">
        <v>63</v>
      </c>
      <c r="O6" s="641">
        <v>67</v>
      </c>
      <c r="P6" s="641">
        <v>70</v>
      </c>
      <c r="Q6" s="641">
        <v>72</v>
      </c>
      <c r="R6" s="641">
        <v>74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641">
        <v>0</v>
      </c>
      <c r="I7" s="641">
        <v>0</v>
      </c>
      <c r="J7" s="641">
        <v>0</v>
      </c>
      <c r="K7" s="641">
        <v>0</v>
      </c>
      <c r="L7" s="641">
        <v>17.798999999999999</v>
      </c>
      <c r="M7" s="641">
        <v>14.791</v>
      </c>
      <c r="N7" s="641">
        <v>20</v>
      </c>
      <c r="O7" s="641">
        <v>22</v>
      </c>
      <c r="P7" s="641">
        <v>24</v>
      </c>
      <c r="Q7" s="641">
        <v>27</v>
      </c>
      <c r="R7" s="641">
        <v>28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641">
        <v>0</v>
      </c>
      <c r="I8" s="641">
        <v>0</v>
      </c>
      <c r="J8" s="641">
        <v>0</v>
      </c>
      <c r="K8" s="641">
        <v>0</v>
      </c>
      <c r="L8" s="641">
        <v>0</v>
      </c>
      <c r="M8" s="641">
        <v>0</v>
      </c>
      <c r="N8" s="641">
        <v>0</v>
      </c>
      <c r="O8" s="641">
        <v>0</v>
      </c>
      <c r="P8" s="641">
        <v>0</v>
      </c>
      <c r="Q8" s="641">
        <v>0</v>
      </c>
      <c r="R8" s="641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641">
        <v>0</v>
      </c>
      <c r="I9" s="641">
        <v>0</v>
      </c>
      <c r="J9" s="641">
        <v>0</v>
      </c>
      <c r="K9" s="641">
        <v>0</v>
      </c>
      <c r="L9" s="641">
        <v>3.952</v>
      </c>
      <c r="M9" s="641">
        <v>2.7789999999999999</v>
      </c>
      <c r="N9" s="641">
        <v>3</v>
      </c>
      <c r="O9" s="641">
        <v>3</v>
      </c>
      <c r="P9" s="641">
        <v>3</v>
      </c>
      <c r="Q9" s="641">
        <v>3</v>
      </c>
      <c r="R9" s="641">
        <v>3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640">
        <f>SUM(H11:H16)</f>
        <v>0</v>
      </c>
      <c r="I10" s="640">
        <f t="shared" ref="I10:R10" si="2">SUM(I11:I16)</f>
        <v>0</v>
      </c>
      <c r="J10" s="640">
        <f t="shared" si="2"/>
        <v>0</v>
      </c>
      <c r="K10" s="640">
        <f t="shared" si="2"/>
        <v>0</v>
      </c>
      <c r="L10" s="640">
        <f t="shared" si="2"/>
        <v>180.535</v>
      </c>
      <c r="M10" s="640">
        <f t="shared" si="2"/>
        <v>82.781000000000006</v>
      </c>
      <c r="N10" s="640">
        <f t="shared" si="2"/>
        <v>64</v>
      </c>
      <c r="O10" s="640">
        <f t="shared" si="2"/>
        <v>60</v>
      </c>
      <c r="P10" s="640">
        <f t="shared" si="2"/>
        <v>56</v>
      </c>
      <c r="Q10" s="640">
        <f t="shared" si="2"/>
        <v>52</v>
      </c>
      <c r="R10" s="640">
        <f t="shared" si="2"/>
        <v>48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641">
        <v>0</v>
      </c>
      <c r="I11" s="641">
        <v>0</v>
      </c>
      <c r="J11" s="641">
        <v>0</v>
      </c>
      <c r="K11" s="641">
        <v>0</v>
      </c>
      <c r="L11" s="641">
        <v>0</v>
      </c>
      <c r="M11" s="641">
        <v>0</v>
      </c>
      <c r="N11" s="641">
        <v>0</v>
      </c>
      <c r="O11" s="641">
        <v>0</v>
      </c>
      <c r="P11" s="641">
        <v>0</v>
      </c>
      <c r="Q11" s="641">
        <v>0</v>
      </c>
      <c r="R11" s="641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641">
        <v>0</v>
      </c>
      <c r="I12" s="641">
        <v>0</v>
      </c>
      <c r="J12" s="641">
        <v>0</v>
      </c>
      <c r="K12" s="641">
        <v>0</v>
      </c>
      <c r="L12" s="641">
        <v>0</v>
      </c>
      <c r="M12" s="641">
        <v>0</v>
      </c>
      <c r="N12" s="641">
        <v>0</v>
      </c>
      <c r="O12" s="641">
        <v>0</v>
      </c>
      <c r="P12" s="641">
        <v>0</v>
      </c>
      <c r="Q12" s="641">
        <v>0</v>
      </c>
      <c r="R12" s="641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641">
        <v>0</v>
      </c>
      <c r="I13" s="641">
        <v>0</v>
      </c>
      <c r="J13" s="641">
        <v>0</v>
      </c>
      <c r="K13" s="641">
        <v>0</v>
      </c>
      <c r="L13" s="641">
        <v>0</v>
      </c>
      <c r="M13" s="641">
        <v>0</v>
      </c>
      <c r="N13" s="641">
        <v>0</v>
      </c>
      <c r="O13" s="641">
        <v>0</v>
      </c>
      <c r="P13" s="641">
        <v>0</v>
      </c>
      <c r="Q13" s="641">
        <v>0</v>
      </c>
      <c r="R13" s="641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641">
        <v>0</v>
      </c>
      <c r="I14" s="641">
        <v>0</v>
      </c>
      <c r="J14" s="641">
        <v>0</v>
      </c>
      <c r="K14" s="641">
        <v>0</v>
      </c>
      <c r="L14" s="641">
        <v>0</v>
      </c>
      <c r="M14" s="641">
        <v>0</v>
      </c>
      <c r="N14" s="641">
        <v>0</v>
      </c>
      <c r="O14" s="641">
        <v>0</v>
      </c>
      <c r="P14" s="641">
        <v>0</v>
      </c>
      <c r="Q14" s="641">
        <v>0</v>
      </c>
      <c r="R14" s="641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641">
        <v>0</v>
      </c>
      <c r="I15" s="641">
        <v>0</v>
      </c>
      <c r="J15" s="641">
        <v>0</v>
      </c>
      <c r="K15" s="641">
        <v>0</v>
      </c>
      <c r="L15" s="641">
        <v>180.535</v>
      </c>
      <c r="M15" s="641">
        <v>82.781000000000006</v>
      </c>
      <c r="N15" s="641">
        <v>64</v>
      </c>
      <c r="O15" s="641">
        <v>60</v>
      </c>
      <c r="P15" s="641">
        <v>56</v>
      </c>
      <c r="Q15" s="641">
        <v>52</v>
      </c>
      <c r="R15" s="641">
        <v>48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641">
        <v>0</v>
      </c>
      <c r="I16" s="641">
        <v>0</v>
      </c>
      <c r="J16" s="641">
        <v>0</v>
      </c>
      <c r="K16" s="641">
        <v>0</v>
      </c>
      <c r="L16" s="641">
        <v>0</v>
      </c>
      <c r="M16" s="641">
        <v>0</v>
      </c>
      <c r="N16" s="641">
        <v>0</v>
      </c>
      <c r="O16" s="641">
        <v>0</v>
      </c>
      <c r="P16" s="641">
        <v>0</v>
      </c>
      <c r="Q16" s="641">
        <v>0</v>
      </c>
      <c r="R16" s="641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642">
        <v>0</v>
      </c>
      <c r="I17" s="642">
        <v>0</v>
      </c>
      <c r="J17" s="642">
        <v>0</v>
      </c>
      <c r="K17" s="642">
        <v>0</v>
      </c>
      <c r="L17" s="642">
        <v>0</v>
      </c>
      <c r="M17" s="642">
        <v>0</v>
      </c>
      <c r="N17" s="642">
        <v>0</v>
      </c>
      <c r="O17" s="642">
        <v>0</v>
      </c>
      <c r="P17" s="642">
        <v>0</v>
      </c>
      <c r="Q17" s="642">
        <v>0</v>
      </c>
      <c r="R17" s="642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640">
        <f>H19+H27</f>
        <v>0</v>
      </c>
      <c r="I18" s="640">
        <f t="shared" ref="I18:R18" si="3">I19+I27</f>
        <v>0</v>
      </c>
      <c r="J18" s="640">
        <f t="shared" si="3"/>
        <v>0</v>
      </c>
      <c r="K18" s="640">
        <f t="shared" si="3"/>
        <v>0</v>
      </c>
      <c r="L18" s="640">
        <f t="shared" si="3"/>
        <v>246.47400000000002</v>
      </c>
      <c r="M18" s="640">
        <f>M19+M27</f>
        <v>167.024</v>
      </c>
      <c r="N18" s="640">
        <f t="shared" si="3"/>
        <v>150</v>
      </c>
      <c r="O18" s="640">
        <f t="shared" si="3"/>
        <v>152</v>
      </c>
      <c r="P18" s="640">
        <f t="shared" si="3"/>
        <v>153</v>
      </c>
      <c r="Q18" s="640">
        <f t="shared" si="3"/>
        <v>154</v>
      </c>
      <c r="R18" s="640">
        <f t="shared" si="3"/>
        <v>153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640">
        <f>SUM(H21:H26)</f>
        <v>0</v>
      </c>
      <c r="I19" s="640">
        <f t="shared" ref="I19:R19" si="4">SUM(I21:I26)</f>
        <v>0</v>
      </c>
      <c r="J19" s="640">
        <f t="shared" si="4"/>
        <v>0</v>
      </c>
      <c r="K19" s="640">
        <f t="shared" si="4"/>
        <v>0</v>
      </c>
      <c r="L19" s="640">
        <f t="shared" si="4"/>
        <v>24.25</v>
      </c>
      <c r="M19" s="640">
        <f t="shared" si="4"/>
        <v>41.448999999999998</v>
      </c>
      <c r="N19" s="640">
        <f t="shared" si="4"/>
        <v>18</v>
      </c>
      <c r="O19" s="640">
        <f t="shared" si="4"/>
        <v>15</v>
      </c>
      <c r="P19" s="640">
        <f t="shared" si="4"/>
        <v>14</v>
      </c>
      <c r="Q19" s="640">
        <f t="shared" si="4"/>
        <v>13</v>
      </c>
      <c r="R19" s="640">
        <f t="shared" si="4"/>
        <v>11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643">
        <v>0</v>
      </c>
      <c r="I20" s="643">
        <v>0</v>
      </c>
      <c r="J20" s="643">
        <v>0</v>
      </c>
      <c r="K20" s="643">
        <v>0</v>
      </c>
      <c r="L20" s="643">
        <v>24.25</v>
      </c>
      <c r="M20" s="643">
        <v>41.448999999999998</v>
      </c>
      <c r="N20" s="643">
        <v>0</v>
      </c>
      <c r="O20" s="643">
        <v>0</v>
      </c>
      <c r="P20" s="643">
        <v>0</v>
      </c>
      <c r="Q20" s="643">
        <v>0</v>
      </c>
      <c r="R20" s="643">
        <v>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641">
        <v>0</v>
      </c>
      <c r="I21" s="641">
        <v>0</v>
      </c>
      <c r="J21" s="641">
        <v>0</v>
      </c>
      <c r="K21" s="641">
        <v>0</v>
      </c>
      <c r="L21" s="641">
        <v>24.25</v>
      </c>
      <c r="M21" s="641">
        <v>41.448999999999998</v>
      </c>
      <c r="N21" s="641">
        <v>18</v>
      </c>
      <c r="O21" s="641">
        <v>15</v>
      </c>
      <c r="P21" s="641">
        <v>14</v>
      </c>
      <c r="Q21" s="641">
        <v>13</v>
      </c>
      <c r="R21" s="641">
        <v>11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641">
        <v>0</v>
      </c>
      <c r="I22" s="641">
        <v>0</v>
      </c>
      <c r="J22" s="641">
        <v>0</v>
      </c>
      <c r="K22" s="641">
        <v>0</v>
      </c>
      <c r="L22" s="641">
        <v>0</v>
      </c>
      <c r="M22" s="641">
        <v>0</v>
      </c>
      <c r="N22" s="641">
        <v>0</v>
      </c>
      <c r="O22" s="641">
        <v>0</v>
      </c>
      <c r="P22" s="641">
        <v>0</v>
      </c>
      <c r="Q22" s="641">
        <v>0</v>
      </c>
      <c r="R22" s="641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641">
        <v>0</v>
      </c>
      <c r="I23" s="641">
        <v>0</v>
      </c>
      <c r="J23" s="641">
        <v>0</v>
      </c>
      <c r="K23" s="641">
        <v>0</v>
      </c>
      <c r="L23" s="641">
        <v>0</v>
      </c>
      <c r="M23" s="641">
        <v>0</v>
      </c>
      <c r="N23" s="641">
        <v>0</v>
      </c>
      <c r="O23" s="641">
        <v>0</v>
      </c>
      <c r="P23" s="641">
        <v>0</v>
      </c>
      <c r="Q23" s="641">
        <v>0</v>
      </c>
      <c r="R23" s="641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641">
        <v>0</v>
      </c>
      <c r="I24" s="641">
        <v>0</v>
      </c>
      <c r="J24" s="641">
        <v>0</v>
      </c>
      <c r="K24" s="641">
        <v>0</v>
      </c>
      <c r="L24" s="641">
        <v>0</v>
      </c>
      <c r="M24" s="641">
        <v>0</v>
      </c>
      <c r="N24" s="641">
        <v>0</v>
      </c>
      <c r="O24" s="641">
        <v>0</v>
      </c>
      <c r="P24" s="641">
        <v>0</v>
      </c>
      <c r="Q24" s="641">
        <v>0</v>
      </c>
      <c r="R24" s="641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641">
        <v>0</v>
      </c>
      <c r="I25" s="641">
        <v>0</v>
      </c>
      <c r="J25" s="641">
        <v>0</v>
      </c>
      <c r="K25" s="641">
        <v>0</v>
      </c>
      <c r="L25" s="641">
        <v>0</v>
      </c>
      <c r="M25" s="641">
        <v>0</v>
      </c>
      <c r="N25" s="641">
        <v>0</v>
      </c>
      <c r="O25" s="641">
        <v>0</v>
      </c>
      <c r="P25" s="641">
        <v>0</v>
      </c>
      <c r="Q25" s="641">
        <v>0</v>
      </c>
      <c r="R25" s="641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641">
        <v>0</v>
      </c>
      <c r="I26" s="641">
        <v>0</v>
      </c>
      <c r="J26" s="641">
        <v>0</v>
      </c>
      <c r="K26" s="641">
        <v>0</v>
      </c>
      <c r="L26" s="641">
        <v>0</v>
      </c>
      <c r="M26" s="641">
        <v>0</v>
      </c>
      <c r="N26" s="641">
        <v>0</v>
      </c>
      <c r="O26" s="641">
        <v>0</v>
      </c>
      <c r="P26" s="641">
        <v>0</v>
      </c>
      <c r="Q26" s="641">
        <v>0</v>
      </c>
      <c r="R26" s="641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640">
        <f>SUM(H28:H30)</f>
        <v>0</v>
      </c>
      <c r="I27" s="640">
        <f t="shared" ref="I27:R27" si="5">SUM(I28:I30)</f>
        <v>0</v>
      </c>
      <c r="J27" s="640">
        <f t="shared" si="5"/>
        <v>0</v>
      </c>
      <c r="K27" s="640">
        <f t="shared" si="5"/>
        <v>0</v>
      </c>
      <c r="L27" s="640">
        <f t="shared" si="5"/>
        <v>222.22400000000002</v>
      </c>
      <c r="M27" s="640">
        <f t="shared" si="5"/>
        <v>125.57500000000002</v>
      </c>
      <c r="N27" s="640">
        <f t="shared" si="5"/>
        <v>132</v>
      </c>
      <c r="O27" s="640">
        <f t="shared" si="5"/>
        <v>137</v>
      </c>
      <c r="P27" s="640">
        <f t="shared" si="5"/>
        <v>139</v>
      </c>
      <c r="Q27" s="640">
        <f t="shared" si="5"/>
        <v>141</v>
      </c>
      <c r="R27" s="640">
        <f t="shared" si="5"/>
        <v>142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641">
        <v>0</v>
      </c>
      <c r="I28" s="641">
        <v>0</v>
      </c>
      <c r="J28" s="641">
        <v>0</v>
      </c>
      <c r="K28" s="641">
        <v>0</v>
      </c>
      <c r="L28" s="641">
        <v>253.96100000000001</v>
      </c>
      <c r="M28" s="641">
        <v>253.96100000000001</v>
      </c>
      <c r="N28" s="641">
        <v>254</v>
      </c>
      <c r="O28" s="641">
        <v>254</v>
      </c>
      <c r="P28" s="641">
        <v>254</v>
      </c>
      <c r="Q28" s="641">
        <v>254</v>
      </c>
      <c r="R28" s="641">
        <v>254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641">
        <v>0</v>
      </c>
      <c r="I29" s="641">
        <v>0</v>
      </c>
      <c r="J29" s="641">
        <v>0</v>
      </c>
      <c r="K29" s="641">
        <v>0</v>
      </c>
      <c r="L29" s="641">
        <v>0</v>
      </c>
      <c r="M29" s="641">
        <v>-31.736999999999998</v>
      </c>
      <c r="N29" s="641">
        <v>-128</v>
      </c>
      <c r="O29" s="641">
        <v>-122</v>
      </c>
      <c r="P29" s="641">
        <v>-117</v>
      </c>
      <c r="Q29" s="641">
        <v>-115</v>
      </c>
      <c r="R29" s="641">
        <v>-113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641">
        <v>0</v>
      </c>
      <c r="I30" s="641">
        <v>0</v>
      </c>
      <c r="J30" s="641">
        <v>0</v>
      </c>
      <c r="K30" s="641">
        <v>0</v>
      </c>
      <c r="L30" s="641">
        <v>-31.736999999999998</v>
      </c>
      <c r="M30" s="641">
        <v>-96.649000000000001</v>
      </c>
      <c r="N30" s="641">
        <v>6</v>
      </c>
      <c r="O30" s="641">
        <v>5</v>
      </c>
      <c r="P30" s="641">
        <v>2</v>
      </c>
      <c r="Q30" s="641">
        <v>2</v>
      </c>
      <c r="R30" s="641">
        <v>1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644">
        <f t="shared" ref="H31:R31" si="6">H4-H18</f>
        <v>0</v>
      </c>
      <c r="I31" s="644">
        <f t="shared" si="6"/>
        <v>0</v>
      </c>
      <c r="J31" s="644">
        <f t="shared" si="6"/>
        <v>0</v>
      </c>
      <c r="K31" s="644">
        <f t="shared" si="6"/>
        <v>0</v>
      </c>
      <c r="L31" s="644">
        <f t="shared" si="6"/>
        <v>9.9999999997635314E-4</v>
      </c>
      <c r="M31" s="644">
        <f t="shared" si="6"/>
        <v>0</v>
      </c>
      <c r="N31" s="644">
        <f>N4-N18</f>
        <v>0</v>
      </c>
      <c r="O31" s="644">
        <f t="shared" si="6"/>
        <v>0</v>
      </c>
      <c r="P31" s="644">
        <f t="shared" si="6"/>
        <v>0</v>
      </c>
      <c r="Q31" s="644">
        <f t="shared" si="6"/>
        <v>0</v>
      </c>
      <c r="R31" s="644">
        <f t="shared" si="6"/>
        <v>0</v>
      </c>
      <c r="S31" s="4"/>
    </row>
    <row r="32" spans="1:19" x14ac:dyDescent="0.2">
      <c r="G32" s="637" t="s">
        <v>78</v>
      </c>
      <c r="H32" s="645">
        <v>2011</v>
      </c>
      <c r="I32" s="645">
        <f t="shared" ref="I32:R32" si="7">H32+1</f>
        <v>2012</v>
      </c>
      <c r="J32" s="645">
        <f t="shared" si="7"/>
        <v>2013</v>
      </c>
      <c r="K32" s="645">
        <f t="shared" si="7"/>
        <v>2014</v>
      </c>
      <c r="L32" s="645">
        <f t="shared" si="7"/>
        <v>2015</v>
      </c>
      <c r="M32" s="645">
        <f t="shared" si="7"/>
        <v>2016</v>
      </c>
      <c r="N32" s="645">
        <f t="shared" si="7"/>
        <v>2017</v>
      </c>
      <c r="O32" s="645">
        <f t="shared" si="7"/>
        <v>2018</v>
      </c>
      <c r="P32" s="645">
        <f t="shared" si="7"/>
        <v>2019</v>
      </c>
      <c r="Q32" s="645">
        <f t="shared" si="7"/>
        <v>2020</v>
      </c>
      <c r="R32" s="645">
        <f t="shared" si="7"/>
        <v>2021</v>
      </c>
    </row>
    <row r="33" spans="1:18" x14ac:dyDescent="0.2">
      <c r="B33" s="2" t="s">
        <v>79</v>
      </c>
      <c r="C33" s="19">
        <v>3</v>
      </c>
      <c r="G33" s="639" t="s">
        <v>80</v>
      </c>
      <c r="H33" s="640">
        <f>SUM(H34:H37)</f>
        <v>4.5999999999999999E-2</v>
      </c>
      <c r="I33" s="640">
        <f t="shared" ref="I33:R33" si="8">SUM(I34:I37)</f>
        <v>8.1000000000000003E-2</v>
      </c>
      <c r="J33" s="640">
        <f t="shared" si="8"/>
        <v>0</v>
      </c>
      <c r="K33" s="640">
        <f t="shared" si="8"/>
        <v>0</v>
      </c>
      <c r="L33" s="640">
        <f t="shared" si="8"/>
        <v>235.87299999999999</v>
      </c>
      <c r="M33" s="640">
        <f t="shared" si="8"/>
        <v>820.67499999999995</v>
      </c>
      <c r="N33" s="640">
        <f t="shared" si="8"/>
        <v>745.52099999999996</v>
      </c>
      <c r="O33" s="640">
        <f t="shared" si="8"/>
        <v>763</v>
      </c>
      <c r="P33" s="640">
        <f t="shared" si="8"/>
        <v>783</v>
      </c>
      <c r="Q33" s="640">
        <f t="shared" si="8"/>
        <v>796</v>
      </c>
      <c r="R33" s="640">
        <f t="shared" si="8"/>
        <v>814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641">
        <v>0</v>
      </c>
      <c r="I34" s="641">
        <v>0</v>
      </c>
      <c r="J34" s="641">
        <v>0</v>
      </c>
      <c r="K34" s="641">
        <v>0</v>
      </c>
      <c r="L34" s="641">
        <v>0</v>
      </c>
      <c r="M34" s="641">
        <v>0</v>
      </c>
      <c r="N34" s="641">
        <v>0</v>
      </c>
      <c r="O34" s="641">
        <v>0</v>
      </c>
      <c r="P34" s="641">
        <v>0</v>
      </c>
      <c r="Q34" s="641">
        <v>0</v>
      </c>
      <c r="R34" s="641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641">
        <v>0</v>
      </c>
      <c r="I35" s="641">
        <v>0</v>
      </c>
      <c r="J35" s="641">
        <v>0</v>
      </c>
      <c r="K35" s="641">
        <v>0</v>
      </c>
      <c r="L35" s="641">
        <v>44.136000000000003</v>
      </c>
      <c r="M35" s="641">
        <v>111.88</v>
      </c>
      <c r="N35" s="641">
        <v>60</v>
      </c>
      <c r="O35" s="641">
        <v>60</v>
      </c>
      <c r="P35" s="641">
        <v>65</v>
      </c>
      <c r="Q35" s="641">
        <v>65</v>
      </c>
      <c r="R35" s="641">
        <v>65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641">
        <v>0</v>
      </c>
      <c r="I36" s="641">
        <v>0</v>
      </c>
      <c r="J36" s="641">
        <v>0</v>
      </c>
      <c r="K36" s="641">
        <v>0</v>
      </c>
      <c r="L36" s="641">
        <v>191.03399999999999</v>
      </c>
      <c r="M36" s="641">
        <v>708.79499999999996</v>
      </c>
      <c r="N36" s="641">
        <v>685.52099999999996</v>
      </c>
      <c r="O36" s="641">
        <v>703</v>
      </c>
      <c r="P36" s="641">
        <v>718</v>
      </c>
      <c r="Q36" s="641">
        <v>731</v>
      </c>
      <c r="R36" s="641">
        <v>749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641">
        <v>4.5999999999999999E-2</v>
      </c>
      <c r="I37" s="641">
        <v>8.1000000000000003E-2</v>
      </c>
      <c r="J37" s="641">
        <v>0</v>
      </c>
      <c r="K37" s="641">
        <v>0</v>
      </c>
      <c r="L37" s="641">
        <v>0.70299999999999996</v>
      </c>
      <c r="M37" s="641">
        <v>0</v>
      </c>
      <c r="N37" s="641">
        <v>0</v>
      </c>
      <c r="O37" s="641">
        <v>0</v>
      </c>
      <c r="P37" s="641">
        <v>0</v>
      </c>
      <c r="Q37" s="641">
        <v>0</v>
      </c>
      <c r="R37" s="641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640">
        <f>H39+H40</f>
        <v>0</v>
      </c>
      <c r="I38" s="640">
        <f t="shared" ref="I38:R38" si="9">I39+I40</f>
        <v>0</v>
      </c>
      <c r="J38" s="640">
        <f t="shared" si="9"/>
        <v>0</v>
      </c>
      <c r="K38" s="640">
        <f t="shared" si="9"/>
        <v>0</v>
      </c>
      <c r="L38" s="640">
        <f t="shared" si="9"/>
        <v>0</v>
      </c>
      <c r="M38" s="640">
        <f t="shared" si="9"/>
        <v>0</v>
      </c>
      <c r="N38" s="640">
        <f t="shared" si="9"/>
        <v>0</v>
      </c>
      <c r="O38" s="640">
        <f t="shared" si="9"/>
        <v>0</v>
      </c>
      <c r="P38" s="640">
        <f t="shared" si="9"/>
        <v>0</v>
      </c>
      <c r="Q38" s="640">
        <f t="shared" si="9"/>
        <v>0</v>
      </c>
      <c r="R38" s="640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641">
        <v>0</v>
      </c>
      <c r="I39" s="641">
        <v>0</v>
      </c>
      <c r="J39" s="641">
        <v>0</v>
      </c>
      <c r="K39" s="641">
        <v>0</v>
      </c>
      <c r="L39" s="641">
        <v>0</v>
      </c>
      <c r="M39" s="641">
        <v>0</v>
      </c>
      <c r="N39" s="641">
        <v>0</v>
      </c>
      <c r="O39" s="641">
        <v>0</v>
      </c>
      <c r="P39" s="641">
        <v>0</v>
      </c>
      <c r="Q39" s="641">
        <v>0</v>
      </c>
      <c r="R39" s="641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641">
        <v>0</v>
      </c>
      <c r="I40" s="641">
        <v>0</v>
      </c>
      <c r="J40" s="641">
        <v>0</v>
      </c>
      <c r="K40" s="641">
        <v>0</v>
      </c>
      <c r="L40" s="641">
        <v>0</v>
      </c>
      <c r="M40" s="641">
        <v>0</v>
      </c>
      <c r="N40" s="641">
        <v>0</v>
      </c>
      <c r="O40" s="641">
        <v>0</v>
      </c>
      <c r="P40" s="641">
        <v>0</v>
      </c>
      <c r="Q40" s="641">
        <v>0</v>
      </c>
      <c r="R40" s="641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640">
        <f>SUM(H42:H45)</f>
        <v>0</v>
      </c>
      <c r="I41" s="640">
        <f t="shared" ref="I41:R41" si="10">SUM(I42:I45)</f>
        <v>0</v>
      </c>
      <c r="J41" s="640">
        <f t="shared" si="10"/>
        <v>0</v>
      </c>
      <c r="K41" s="640">
        <f t="shared" si="10"/>
        <v>0</v>
      </c>
      <c r="L41" s="640">
        <f t="shared" si="10"/>
        <v>-267.64800000000002</v>
      </c>
      <c r="M41" s="640">
        <f t="shared" si="10"/>
        <v>-917.69999999999993</v>
      </c>
      <c r="N41" s="640">
        <f t="shared" si="10"/>
        <v>-739.97400000000005</v>
      </c>
      <c r="O41" s="640">
        <f t="shared" si="10"/>
        <v>-757.60799999999995</v>
      </c>
      <c r="P41" s="640">
        <f t="shared" si="10"/>
        <v>-780.60799999999995</v>
      </c>
      <c r="Q41" s="640">
        <f t="shared" si="10"/>
        <v>-793.60799999999995</v>
      </c>
      <c r="R41" s="640">
        <f t="shared" si="10"/>
        <v>-812.60799999999995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641">
        <v>0</v>
      </c>
      <c r="I42" s="641">
        <v>0</v>
      </c>
      <c r="J42" s="641">
        <v>0</v>
      </c>
      <c r="K42" s="641">
        <v>0</v>
      </c>
      <c r="L42" s="641">
        <v>-103.496</v>
      </c>
      <c r="M42" s="641">
        <v>-304.44600000000003</v>
      </c>
      <c r="N42" s="641">
        <v>-291.41300000000001</v>
      </c>
      <c r="O42" s="641">
        <v>-305</v>
      </c>
      <c r="P42" s="641">
        <v>-314</v>
      </c>
      <c r="Q42" s="641">
        <v>-320</v>
      </c>
      <c r="R42" s="641">
        <v>-331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641">
        <v>0</v>
      </c>
      <c r="I43" s="641">
        <v>0</v>
      </c>
      <c r="J43" s="641">
        <v>0</v>
      </c>
      <c r="K43" s="641">
        <v>0</v>
      </c>
      <c r="L43" s="641">
        <v>-111.253</v>
      </c>
      <c r="M43" s="641">
        <v>-432.67099999999999</v>
      </c>
      <c r="N43" s="641">
        <v>-365</v>
      </c>
      <c r="O43" s="641">
        <v>-384</v>
      </c>
      <c r="P43" s="641">
        <v>-397</v>
      </c>
      <c r="Q43" s="641">
        <v>-404</v>
      </c>
      <c r="R43" s="641">
        <v>-411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641">
        <v>0</v>
      </c>
      <c r="I44" s="641">
        <v>0</v>
      </c>
      <c r="J44" s="641">
        <v>0</v>
      </c>
      <c r="K44" s="641">
        <v>0</v>
      </c>
      <c r="L44" s="641">
        <v>-18.274000000000001</v>
      </c>
      <c r="M44" s="641">
        <v>-75.14</v>
      </c>
      <c r="N44" s="641">
        <v>-65</v>
      </c>
      <c r="O44" s="641">
        <v>-65</v>
      </c>
      <c r="P44" s="641">
        <v>-66</v>
      </c>
      <c r="Q44" s="641">
        <v>-66</v>
      </c>
      <c r="R44" s="641">
        <v>-67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641">
        <v>0</v>
      </c>
      <c r="I45" s="641">
        <v>0</v>
      </c>
      <c r="J45" s="641">
        <v>0</v>
      </c>
      <c r="K45" s="641">
        <v>0</v>
      </c>
      <c r="L45" s="641">
        <v>-34.625</v>
      </c>
      <c r="M45" s="641">
        <v>-105.443</v>
      </c>
      <c r="N45" s="641">
        <v>-18.561</v>
      </c>
      <c r="O45" s="641">
        <v>-3.6080000000000001</v>
      </c>
      <c r="P45" s="641">
        <v>-3.6080000000000001</v>
      </c>
      <c r="Q45" s="641">
        <v>-3.6080000000000001</v>
      </c>
      <c r="R45" s="641">
        <v>-3.6080000000000001</v>
      </c>
    </row>
    <row r="46" spans="1:18" x14ac:dyDescent="0.2">
      <c r="B46" s="2" t="s">
        <v>107</v>
      </c>
      <c r="G46" s="18" t="s">
        <v>108</v>
      </c>
      <c r="H46" s="640">
        <f>H33+H38+H41</f>
        <v>4.5999999999999999E-2</v>
      </c>
      <c r="I46" s="640">
        <f t="shared" ref="I46:R46" si="11">I33+I38+I41</f>
        <v>8.1000000000000003E-2</v>
      </c>
      <c r="J46" s="640">
        <f t="shared" si="11"/>
        <v>0</v>
      </c>
      <c r="K46" s="640">
        <f t="shared" si="11"/>
        <v>0</v>
      </c>
      <c r="L46" s="640">
        <f t="shared" si="11"/>
        <v>-31.775000000000034</v>
      </c>
      <c r="M46" s="640">
        <f t="shared" si="11"/>
        <v>-97.024999999999977</v>
      </c>
      <c r="N46" s="640">
        <f t="shared" si="11"/>
        <v>5.5469999999999118</v>
      </c>
      <c r="O46" s="640">
        <f t="shared" si="11"/>
        <v>5.3920000000000528</v>
      </c>
      <c r="P46" s="640">
        <f t="shared" si="11"/>
        <v>2.3920000000000528</v>
      </c>
      <c r="Q46" s="640">
        <f t="shared" si="11"/>
        <v>2.3920000000000528</v>
      </c>
      <c r="R46" s="640">
        <f t="shared" si="11"/>
        <v>1.3920000000000528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641">
        <v>2E-3</v>
      </c>
      <c r="I47" s="641">
        <v>0</v>
      </c>
      <c r="J47" s="641">
        <v>0</v>
      </c>
      <c r="K47" s="641">
        <v>0</v>
      </c>
      <c r="L47" s="641">
        <v>3.7999999999999999E-2</v>
      </c>
      <c r="M47" s="641">
        <v>0.374</v>
      </c>
      <c r="N47" s="641">
        <v>0.375</v>
      </c>
      <c r="O47" s="641">
        <v>0</v>
      </c>
      <c r="P47" s="641">
        <v>0</v>
      </c>
      <c r="Q47" s="641">
        <v>0</v>
      </c>
      <c r="R47" s="641">
        <v>0</v>
      </c>
    </row>
    <row r="48" spans="1:18" x14ac:dyDescent="0.2">
      <c r="B48" s="2" t="s">
        <v>111</v>
      </c>
      <c r="G48" s="18" t="s">
        <v>112</v>
      </c>
      <c r="H48" s="640">
        <f>H46+H47</f>
        <v>4.8000000000000001E-2</v>
      </c>
      <c r="I48" s="640">
        <f t="shared" ref="I48:R48" si="12">I46+I47</f>
        <v>8.1000000000000003E-2</v>
      </c>
      <c r="J48" s="640">
        <f t="shared" si="12"/>
        <v>0</v>
      </c>
      <c r="K48" s="640">
        <f t="shared" si="12"/>
        <v>0</v>
      </c>
      <c r="L48" s="640">
        <f t="shared" si="12"/>
        <v>-31.737000000000034</v>
      </c>
      <c r="M48" s="640">
        <f t="shared" si="12"/>
        <v>-96.650999999999982</v>
      </c>
      <c r="N48" s="640">
        <f t="shared" si="12"/>
        <v>5.9219999999999118</v>
      </c>
      <c r="O48" s="640">
        <f t="shared" si="12"/>
        <v>5.3920000000000528</v>
      </c>
      <c r="P48" s="640">
        <f t="shared" si="12"/>
        <v>2.3920000000000528</v>
      </c>
      <c r="Q48" s="640">
        <f t="shared" si="12"/>
        <v>2.3920000000000528</v>
      </c>
      <c r="R48" s="640">
        <f t="shared" si="12"/>
        <v>1.3920000000000528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641">
        <v>0</v>
      </c>
      <c r="I49" s="641">
        <v>0</v>
      </c>
      <c r="J49" s="641">
        <v>0</v>
      </c>
      <c r="K49" s="641">
        <v>0</v>
      </c>
      <c r="L49" s="641">
        <v>0</v>
      </c>
      <c r="M49" s="641">
        <v>0</v>
      </c>
      <c r="N49" s="641">
        <v>0</v>
      </c>
      <c r="O49" s="641">
        <v>0</v>
      </c>
      <c r="P49" s="641">
        <v>0</v>
      </c>
      <c r="Q49" s="641">
        <v>0</v>
      </c>
      <c r="R49" s="641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641">
        <v>0</v>
      </c>
      <c r="I50" s="641">
        <v>0</v>
      </c>
      <c r="J50" s="641">
        <v>0</v>
      </c>
      <c r="K50" s="641">
        <v>0</v>
      </c>
      <c r="L50" s="641">
        <v>0</v>
      </c>
      <c r="M50" s="641">
        <v>0</v>
      </c>
      <c r="N50" s="641">
        <v>0</v>
      </c>
      <c r="O50" s="641">
        <v>0</v>
      </c>
      <c r="P50" s="641">
        <v>0</v>
      </c>
      <c r="Q50" s="641">
        <v>0</v>
      </c>
      <c r="R50" s="641">
        <v>0</v>
      </c>
    </row>
    <row r="51" spans="1:18" x14ac:dyDescent="0.2">
      <c r="B51" s="2" t="s">
        <v>117</v>
      </c>
      <c r="G51" s="18" t="s">
        <v>118</v>
      </c>
      <c r="H51" s="640">
        <f>H48+H49+H50</f>
        <v>4.8000000000000001E-2</v>
      </c>
      <c r="I51" s="640">
        <f t="shared" ref="I51:R51" si="13">I48+I49+I50</f>
        <v>8.1000000000000003E-2</v>
      </c>
      <c r="J51" s="640">
        <f t="shared" si="13"/>
        <v>0</v>
      </c>
      <c r="K51" s="640">
        <f t="shared" si="13"/>
        <v>0</v>
      </c>
      <c r="L51" s="640">
        <f t="shared" si="13"/>
        <v>-31.737000000000034</v>
      </c>
      <c r="M51" s="640">
        <f t="shared" si="13"/>
        <v>-96.650999999999982</v>
      </c>
      <c r="N51" s="640">
        <f t="shared" si="13"/>
        <v>5.9219999999999118</v>
      </c>
      <c r="O51" s="640">
        <f t="shared" si="13"/>
        <v>5.3920000000000528</v>
      </c>
      <c r="P51" s="640">
        <f t="shared" si="13"/>
        <v>2.3920000000000528</v>
      </c>
      <c r="Q51" s="640">
        <f t="shared" si="13"/>
        <v>2.3920000000000528</v>
      </c>
      <c r="R51" s="640">
        <f t="shared" si="13"/>
        <v>1.3920000000000528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644">
        <f>H30-H51</f>
        <v>-4.8000000000000001E-2</v>
      </c>
      <c r="I52" s="644">
        <f t="shared" ref="I52:Q52" si="14">I30-I51</f>
        <v>-8.1000000000000003E-2</v>
      </c>
      <c r="J52" s="644">
        <f t="shared" si="14"/>
        <v>0</v>
      </c>
      <c r="K52" s="644">
        <f t="shared" si="14"/>
        <v>0</v>
      </c>
      <c r="L52" s="644">
        <f t="shared" si="14"/>
        <v>3.5527136788005009E-14</v>
      </c>
      <c r="M52" s="644">
        <f>M30-M51</f>
        <v>1.999999999981128E-3</v>
      </c>
      <c r="N52" s="644">
        <f>N30-N51</f>
        <v>7.8000000000088221E-2</v>
      </c>
      <c r="O52" s="644">
        <f t="shared" si="14"/>
        <v>-0.39200000000005275</v>
      </c>
      <c r="P52" s="644">
        <f t="shared" si="14"/>
        <v>-0.39200000000005275</v>
      </c>
      <c r="Q52" s="644">
        <f t="shared" si="14"/>
        <v>-0.39200000000005275</v>
      </c>
      <c r="R52" s="644">
        <f>R30-R51</f>
        <v>-0.39200000000005275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641">
        <v>0</v>
      </c>
      <c r="I54" s="641">
        <v>0</v>
      </c>
      <c r="J54" s="641">
        <v>0</v>
      </c>
      <c r="K54" s="641">
        <v>0</v>
      </c>
      <c r="L54" s="641">
        <v>22.05</v>
      </c>
      <c r="M54" s="641">
        <v>21.61</v>
      </c>
      <c r="N54" s="641">
        <v>22</v>
      </c>
      <c r="O54" s="641">
        <v>22</v>
      </c>
      <c r="P54" s="641">
        <v>22</v>
      </c>
      <c r="Q54" s="641">
        <v>22</v>
      </c>
      <c r="R54" s="641">
        <v>22</v>
      </c>
    </row>
    <row r="55" spans="1:18" ht="12" x14ac:dyDescent="0.2">
      <c r="E55" s="20" t="s">
        <v>14</v>
      </c>
      <c r="G55" s="46" t="s">
        <v>122</v>
      </c>
      <c r="H55" s="641"/>
      <c r="I55" s="641"/>
      <c r="J55" s="641"/>
      <c r="K55" s="641"/>
      <c r="L55" s="646"/>
      <c r="M55" s="646"/>
      <c r="N55" s="646"/>
      <c r="O55" s="646"/>
      <c r="P55" s="646"/>
      <c r="Q55" s="646"/>
      <c r="R55" s="646"/>
    </row>
    <row r="57" spans="1:18" x14ac:dyDescent="0.2">
      <c r="D57" s="49" t="s">
        <v>123</v>
      </c>
      <c r="E57" s="50" t="s">
        <v>3</v>
      </c>
      <c r="F57" s="17"/>
      <c r="G57" s="637" t="s">
        <v>124</v>
      </c>
      <c r="H57" s="645">
        <f>H32</f>
        <v>2011</v>
      </c>
      <c r="I57" s="645">
        <f t="shared" ref="I57:R57" si="15">I32</f>
        <v>2012</v>
      </c>
      <c r="J57" s="645">
        <f t="shared" si="15"/>
        <v>2013</v>
      </c>
      <c r="K57" s="645">
        <f t="shared" si="15"/>
        <v>2014</v>
      </c>
      <c r="L57" s="645">
        <f t="shared" si="15"/>
        <v>2015</v>
      </c>
      <c r="M57" s="645">
        <f t="shared" si="15"/>
        <v>2016</v>
      </c>
      <c r="N57" s="645">
        <f t="shared" si="15"/>
        <v>2017</v>
      </c>
      <c r="O57" s="645">
        <f t="shared" si="15"/>
        <v>2018</v>
      </c>
      <c r="P57" s="645">
        <f t="shared" si="15"/>
        <v>2019</v>
      </c>
      <c r="Q57" s="645">
        <f t="shared" si="15"/>
        <v>2020</v>
      </c>
      <c r="R57" s="645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639" t="s">
        <v>128</v>
      </c>
      <c r="H58" s="641">
        <v>0</v>
      </c>
      <c r="I58" s="641">
        <v>0</v>
      </c>
      <c r="J58" s="641">
        <v>0</v>
      </c>
      <c r="K58" s="641">
        <v>0</v>
      </c>
      <c r="L58" s="641">
        <v>0</v>
      </c>
      <c r="M58" s="641">
        <v>-7.69</v>
      </c>
      <c r="N58" s="641">
        <v>0</v>
      </c>
      <c r="O58" s="641">
        <v>0</v>
      </c>
      <c r="P58" s="641">
        <v>0</v>
      </c>
      <c r="Q58" s="641">
        <v>0</v>
      </c>
      <c r="R58" s="641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641">
        <v>0</v>
      </c>
      <c r="I59" s="641">
        <v>0</v>
      </c>
      <c r="J59" s="641">
        <v>0</v>
      </c>
      <c r="K59" s="641">
        <v>0</v>
      </c>
      <c r="L59" s="641">
        <v>0</v>
      </c>
      <c r="M59" s="641">
        <v>0</v>
      </c>
      <c r="N59" s="641">
        <v>0</v>
      </c>
      <c r="O59" s="641">
        <v>0</v>
      </c>
      <c r="P59" s="641">
        <v>0</v>
      </c>
      <c r="Q59" s="641">
        <v>0</v>
      </c>
      <c r="R59" s="641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641">
        <v>0</v>
      </c>
      <c r="I60" s="641">
        <v>0</v>
      </c>
      <c r="J60" s="641">
        <v>0</v>
      </c>
      <c r="K60" s="641">
        <v>0</v>
      </c>
      <c r="L60" s="641">
        <v>0</v>
      </c>
      <c r="M60" s="641">
        <v>0</v>
      </c>
      <c r="N60" s="641">
        <v>0</v>
      </c>
      <c r="O60" s="641">
        <v>0</v>
      </c>
      <c r="P60" s="641">
        <v>0</v>
      </c>
      <c r="Q60" s="641">
        <v>0</v>
      </c>
      <c r="R60" s="641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641">
        <v>0</v>
      </c>
      <c r="I61" s="641">
        <v>0</v>
      </c>
      <c r="J61" s="641">
        <v>0</v>
      </c>
      <c r="K61" s="641">
        <v>0</v>
      </c>
      <c r="L61" s="641">
        <v>0</v>
      </c>
      <c r="M61" s="641">
        <v>0</v>
      </c>
      <c r="N61" s="641">
        <v>0</v>
      </c>
      <c r="O61" s="641">
        <v>0</v>
      </c>
      <c r="P61" s="641">
        <v>0</v>
      </c>
      <c r="Q61" s="641">
        <v>0</v>
      </c>
      <c r="R61" s="641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641">
        <v>0</v>
      </c>
      <c r="I62" s="641">
        <v>0</v>
      </c>
      <c r="J62" s="641">
        <v>0</v>
      </c>
      <c r="K62" s="641">
        <v>0</v>
      </c>
      <c r="L62" s="641">
        <v>0</v>
      </c>
      <c r="M62" s="641">
        <v>0</v>
      </c>
      <c r="N62" s="641">
        <v>0</v>
      </c>
      <c r="O62" s="641">
        <v>0</v>
      </c>
      <c r="P62" s="641">
        <v>0</v>
      </c>
      <c r="Q62" s="641">
        <v>0</v>
      </c>
      <c r="R62" s="641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641">
        <v>0</v>
      </c>
      <c r="I63" s="641">
        <v>0</v>
      </c>
      <c r="J63" s="641">
        <v>0</v>
      </c>
      <c r="K63" s="641">
        <v>0</v>
      </c>
      <c r="L63" s="641">
        <v>0</v>
      </c>
      <c r="M63" s="641">
        <v>0</v>
      </c>
      <c r="N63" s="641">
        <v>0</v>
      </c>
      <c r="O63" s="641">
        <v>0</v>
      </c>
      <c r="P63" s="641">
        <v>0</v>
      </c>
      <c r="Q63" s="641">
        <v>0</v>
      </c>
      <c r="R63" s="641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641">
        <v>0</v>
      </c>
      <c r="I64" s="641">
        <v>0</v>
      </c>
      <c r="J64" s="641">
        <v>0</v>
      </c>
      <c r="K64" s="641">
        <v>0</v>
      </c>
      <c r="L64" s="641">
        <v>0</v>
      </c>
      <c r="M64" s="641">
        <v>0</v>
      </c>
      <c r="N64" s="641">
        <v>0</v>
      </c>
      <c r="O64" s="641">
        <v>0</v>
      </c>
      <c r="P64" s="641">
        <v>0</v>
      </c>
      <c r="Q64" s="641">
        <v>0</v>
      </c>
      <c r="R64" s="641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0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641">
        <v>0</v>
      </c>
      <c r="I66" s="641">
        <v>0</v>
      </c>
      <c r="J66" s="641">
        <v>0</v>
      </c>
      <c r="K66" s="641">
        <v>0</v>
      </c>
      <c r="L66" s="641">
        <v>0</v>
      </c>
      <c r="M66" s="641">
        <v>0</v>
      </c>
      <c r="N66" s="641">
        <v>0</v>
      </c>
      <c r="O66" s="641">
        <v>0</v>
      </c>
      <c r="P66" s="641">
        <v>0</v>
      </c>
      <c r="Q66" s="641">
        <v>0</v>
      </c>
      <c r="R66" s="641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641">
        <v>0</v>
      </c>
      <c r="I67" s="641">
        <v>0</v>
      </c>
      <c r="J67" s="641">
        <v>0</v>
      </c>
      <c r="K67" s="641">
        <v>0</v>
      </c>
      <c r="L67" s="641">
        <v>0</v>
      </c>
      <c r="M67" s="641">
        <v>0</v>
      </c>
      <c r="N67" s="641">
        <v>0</v>
      </c>
      <c r="O67" s="641">
        <v>0</v>
      </c>
      <c r="P67" s="641">
        <v>0</v>
      </c>
      <c r="Q67" s="641">
        <v>0</v>
      </c>
      <c r="R67" s="641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641">
        <v>0</v>
      </c>
      <c r="I68" s="641">
        <v>0</v>
      </c>
      <c r="J68" s="641">
        <v>0</v>
      </c>
      <c r="K68" s="641">
        <v>0</v>
      </c>
      <c r="L68" s="641">
        <v>0</v>
      </c>
      <c r="M68" s="641">
        <v>0</v>
      </c>
      <c r="N68" s="641">
        <v>0</v>
      </c>
      <c r="O68" s="641">
        <v>0</v>
      </c>
      <c r="P68" s="641">
        <v>0</v>
      </c>
      <c r="Q68" s="641">
        <v>0</v>
      </c>
      <c r="R68" s="641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641">
        <v>0</v>
      </c>
      <c r="I69" s="641">
        <v>0</v>
      </c>
      <c r="J69" s="641">
        <v>0</v>
      </c>
      <c r="K69" s="641">
        <v>0</v>
      </c>
      <c r="L69" s="641">
        <v>0</v>
      </c>
      <c r="M69" s="641">
        <v>0</v>
      </c>
      <c r="N69" s="641">
        <v>0</v>
      </c>
      <c r="O69" s="641">
        <v>0</v>
      </c>
      <c r="P69" s="641">
        <v>0</v>
      </c>
      <c r="Q69" s="641">
        <v>0</v>
      </c>
      <c r="R69" s="641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641">
        <v>0</v>
      </c>
      <c r="I70" s="641">
        <v>0</v>
      </c>
      <c r="J70" s="641">
        <v>0</v>
      </c>
      <c r="K70" s="641">
        <v>0</v>
      </c>
      <c r="L70" s="641">
        <v>0</v>
      </c>
      <c r="M70" s="641">
        <v>0</v>
      </c>
      <c r="N70" s="641">
        <v>0</v>
      </c>
      <c r="O70" s="641">
        <v>0</v>
      </c>
      <c r="P70" s="641">
        <v>0</v>
      </c>
      <c r="Q70" s="641">
        <v>0</v>
      </c>
      <c r="R70" s="641">
        <v>0</v>
      </c>
    </row>
    <row r="71" spans="2:18" x14ac:dyDescent="0.2">
      <c r="B71" s="51" t="s">
        <v>162</v>
      </c>
      <c r="D71" s="16"/>
      <c r="E71" s="22"/>
      <c r="F71" s="22"/>
      <c r="G71" s="647" t="s">
        <v>163</v>
      </c>
      <c r="H71" s="640">
        <f t="shared" ref="H71:R71" si="16">SUM(H58:H70)</f>
        <v>0</v>
      </c>
      <c r="I71" s="640">
        <f t="shared" si="16"/>
        <v>0</v>
      </c>
      <c r="J71" s="640">
        <f t="shared" si="16"/>
        <v>0</v>
      </c>
      <c r="K71" s="640">
        <f t="shared" si="16"/>
        <v>0</v>
      </c>
      <c r="L71" s="640">
        <f t="shared" si="16"/>
        <v>0</v>
      </c>
      <c r="M71" s="640">
        <f t="shared" si="16"/>
        <v>-7.69</v>
      </c>
      <c r="N71" s="640">
        <f t="shared" si="16"/>
        <v>0</v>
      </c>
      <c r="O71" s="640">
        <f t="shared" si="16"/>
        <v>0</v>
      </c>
      <c r="P71" s="640">
        <f t="shared" si="16"/>
        <v>0</v>
      </c>
      <c r="Q71" s="640">
        <f t="shared" si="16"/>
        <v>0</v>
      </c>
      <c r="R71" s="640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637" t="s">
        <v>164</v>
      </c>
      <c r="H73" s="645">
        <f t="shared" ref="H73:R73" si="17">H57</f>
        <v>2011</v>
      </c>
      <c r="I73" s="645">
        <f t="shared" si="17"/>
        <v>2012</v>
      </c>
      <c r="J73" s="645">
        <f t="shared" si="17"/>
        <v>2013</v>
      </c>
      <c r="K73" s="645">
        <f t="shared" si="17"/>
        <v>2014</v>
      </c>
      <c r="L73" s="645">
        <f t="shared" si="17"/>
        <v>2015</v>
      </c>
      <c r="M73" s="645">
        <f t="shared" si="17"/>
        <v>2016</v>
      </c>
      <c r="N73" s="645">
        <f t="shared" si="17"/>
        <v>2017</v>
      </c>
      <c r="O73" s="645">
        <f t="shared" si="17"/>
        <v>2018</v>
      </c>
      <c r="P73" s="645">
        <f t="shared" si="17"/>
        <v>2019</v>
      </c>
      <c r="Q73" s="645">
        <f t="shared" si="17"/>
        <v>2020</v>
      </c>
      <c r="R73" s="645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639" t="s">
        <v>167</v>
      </c>
      <c r="H74" s="641">
        <v>0</v>
      </c>
      <c r="I74" s="641">
        <v>0</v>
      </c>
      <c r="J74" s="641">
        <v>0</v>
      </c>
      <c r="K74" s="641">
        <v>0</v>
      </c>
      <c r="L74" s="641">
        <v>0</v>
      </c>
      <c r="M74" s="641">
        <v>0</v>
      </c>
      <c r="N74" s="641">
        <v>0</v>
      </c>
      <c r="O74" s="641">
        <v>0</v>
      </c>
      <c r="P74" s="641">
        <v>0</v>
      </c>
      <c r="Q74" s="641">
        <v>0</v>
      </c>
      <c r="R74" s="641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641">
        <v>0</v>
      </c>
      <c r="I76" s="641">
        <v>0</v>
      </c>
      <c r="J76" s="641">
        <v>0</v>
      </c>
      <c r="K76" s="641">
        <v>0</v>
      </c>
      <c r="L76" s="641">
        <v>0</v>
      </c>
      <c r="M76" s="641">
        <v>0</v>
      </c>
      <c r="N76" s="641">
        <v>0</v>
      </c>
      <c r="O76" s="641">
        <v>0</v>
      </c>
      <c r="P76" s="641">
        <v>0</v>
      </c>
      <c r="Q76" s="641">
        <v>0</v>
      </c>
      <c r="R76" s="641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641">
        <v>0</v>
      </c>
      <c r="I77" s="641">
        <v>0</v>
      </c>
      <c r="J77" s="641">
        <v>0</v>
      </c>
      <c r="K77" s="641">
        <v>0</v>
      </c>
      <c r="L77" s="641">
        <v>0</v>
      </c>
      <c r="M77" s="641">
        <v>0</v>
      </c>
      <c r="N77" s="641">
        <v>0</v>
      </c>
      <c r="O77" s="641">
        <v>0</v>
      </c>
      <c r="P77" s="641">
        <v>0</v>
      </c>
      <c r="Q77" s="641">
        <v>0</v>
      </c>
      <c r="R77" s="641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641">
        <v>0</v>
      </c>
      <c r="I78" s="641">
        <v>0</v>
      </c>
      <c r="J78" s="641">
        <v>0</v>
      </c>
      <c r="K78" s="641">
        <v>0</v>
      </c>
      <c r="L78" s="641">
        <v>0</v>
      </c>
      <c r="M78" s="641">
        <v>0</v>
      </c>
      <c r="N78" s="641">
        <v>0</v>
      </c>
      <c r="O78" s="641">
        <v>0</v>
      </c>
      <c r="P78" s="641">
        <v>0</v>
      </c>
      <c r="Q78" s="641">
        <v>0</v>
      </c>
      <c r="R78" s="641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641">
        <v>0</v>
      </c>
      <c r="I79" s="641">
        <v>-0.311</v>
      </c>
      <c r="J79" s="641">
        <v>0</v>
      </c>
      <c r="K79" s="641">
        <v>0</v>
      </c>
      <c r="L79" s="641">
        <v>0</v>
      </c>
      <c r="M79" s="641">
        <v>0</v>
      </c>
      <c r="N79" s="641">
        <v>0</v>
      </c>
      <c r="O79" s="641">
        <v>0</v>
      </c>
      <c r="P79" s="641">
        <v>0</v>
      </c>
      <c r="Q79" s="641">
        <v>0</v>
      </c>
      <c r="R79" s="641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641">
        <v>0</v>
      </c>
      <c r="I80" s="641">
        <v>0</v>
      </c>
      <c r="J80" s="641">
        <v>0</v>
      </c>
      <c r="K80" s="641">
        <v>0</v>
      </c>
      <c r="L80" s="641">
        <v>0</v>
      </c>
      <c r="M80" s="641">
        <v>0</v>
      </c>
      <c r="N80" s="641">
        <v>0</v>
      </c>
      <c r="O80" s="641">
        <v>0</v>
      </c>
      <c r="P80" s="641">
        <v>0</v>
      </c>
      <c r="Q80" s="641">
        <v>0</v>
      </c>
      <c r="R80" s="641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641">
        <v>0</v>
      </c>
      <c r="I81" s="641">
        <v>0</v>
      </c>
      <c r="J81" s="641">
        <v>0</v>
      </c>
      <c r="K81" s="641">
        <v>0</v>
      </c>
      <c r="L81" s="641">
        <v>0</v>
      </c>
      <c r="M81" s="641">
        <v>0</v>
      </c>
      <c r="N81" s="641">
        <v>0</v>
      </c>
      <c r="O81" s="641">
        <v>0</v>
      </c>
      <c r="P81" s="641">
        <v>0</v>
      </c>
      <c r="Q81" s="641">
        <v>0</v>
      </c>
      <c r="R81" s="641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641">
        <v>0</v>
      </c>
      <c r="I82" s="641">
        <v>0</v>
      </c>
      <c r="J82" s="641">
        <v>0</v>
      </c>
      <c r="K82" s="641">
        <v>0</v>
      </c>
      <c r="L82" s="641">
        <v>0</v>
      </c>
      <c r="M82" s="641">
        <v>0</v>
      </c>
      <c r="N82" s="641">
        <v>0</v>
      </c>
      <c r="O82" s="641">
        <v>0</v>
      </c>
      <c r="P82" s="641">
        <v>0</v>
      </c>
      <c r="Q82" s="641">
        <v>0</v>
      </c>
      <c r="R82" s="641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641">
        <v>0</v>
      </c>
      <c r="I83" s="641">
        <v>0</v>
      </c>
      <c r="J83" s="641">
        <v>0</v>
      </c>
      <c r="K83" s="641">
        <v>0</v>
      </c>
      <c r="L83" s="641">
        <v>0</v>
      </c>
      <c r="M83" s="641">
        <v>0</v>
      </c>
      <c r="N83" s="641">
        <v>0</v>
      </c>
      <c r="O83" s="641">
        <v>0</v>
      </c>
      <c r="P83" s="641">
        <v>0</v>
      </c>
      <c r="Q83" s="641">
        <v>0</v>
      </c>
      <c r="R83" s="641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641">
        <v>0</v>
      </c>
      <c r="I84" s="641">
        <v>0</v>
      </c>
      <c r="J84" s="641">
        <v>0</v>
      </c>
      <c r="K84" s="641">
        <v>0</v>
      </c>
      <c r="L84" s="641">
        <v>0</v>
      </c>
      <c r="M84" s="641">
        <v>0</v>
      </c>
      <c r="N84" s="641">
        <v>0</v>
      </c>
      <c r="O84" s="641">
        <v>0</v>
      </c>
      <c r="P84" s="641">
        <v>0</v>
      </c>
      <c r="Q84" s="641">
        <v>0</v>
      </c>
      <c r="R84" s="641">
        <v>0</v>
      </c>
    </row>
    <row r="85" spans="1:18" x14ac:dyDescent="0.2">
      <c r="B85" s="2" t="s">
        <v>192</v>
      </c>
      <c r="G85" s="186" t="s">
        <v>163</v>
      </c>
      <c r="H85" s="640">
        <f>SUM(H74:H84)</f>
        <v>0</v>
      </c>
      <c r="I85" s="640">
        <f t="shared" ref="I85:R85" si="18">SUM(I74:I84)</f>
        <v>-0.311</v>
      </c>
      <c r="J85" s="640">
        <f t="shared" si="18"/>
        <v>0</v>
      </c>
      <c r="K85" s="640">
        <f t="shared" si="18"/>
        <v>0</v>
      </c>
      <c r="L85" s="640">
        <f t="shared" si="18"/>
        <v>0</v>
      </c>
      <c r="M85" s="640">
        <f t="shared" si="18"/>
        <v>0</v>
      </c>
      <c r="N85" s="640">
        <f t="shared" si="18"/>
        <v>0</v>
      </c>
      <c r="O85" s="640">
        <f t="shared" si="18"/>
        <v>0</v>
      </c>
      <c r="P85" s="640">
        <f t="shared" si="18"/>
        <v>0</v>
      </c>
      <c r="Q85" s="640">
        <f t="shared" si="18"/>
        <v>0</v>
      </c>
      <c r="R85" s="640">
        <f t="shared" si="18"/>
        <v>0</v>
      </c>
    </row>
    <row r="87" spans="1:18" x14ac:dyDescent="0.2">
      <c r="A87" s="23" t="s">
        <v>0</v>
      </c>
      <c r="D87" s="1293" t="s">
        <v>193</v>
      </c>
      <c r="E87" s="1294"/>
      <c r="G87" s="637" t="s">
        <v>194</v>
      </c>
      <c r="H87" s="645">
        <f t="shared" ref="H87:R87" si="19">H32</f>
        <v>2011</v>
      </c>
      <c r="I87" s="645">
        <f t="shared" si="19"/>
        <v>2012</v>
      </c>
      <c r="J87" s="645">
        <f t="shared" si="19"/>
        <v>2013</v>
      </c>
      <c r="K87" s="645">
        <f t="shared" si="19"/>
        <v>2014</v>
      </c>
      <c r="L87" s="645">
        <f t="shared" si="19"/>
        <v>2015</v>
      </c>
      <c r="M87" s="645">
        <f t="shared" si="19"/>
        <v>2016</v>
      </c>
      <c r="N87" s="645">
        <f t="shared" si="19"/>
        <v>2017</v>
      </c>
      <c r="O87" s="645">
        <f t="shared" si="19"/>
        <v>2018</v>
      </c>
      <c r="P87" s="645">
        <f t="shared" si="19"/>
        <v>2019</v>
      </c>
      <c r="Q87" s="645">
        <f t="shared" si="19"/>
        <v>2020</v>
      </c>
      <c r="R87" s="645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648"/>
      <c r="G88" s="639" t="s">
        <v>198</v>
      </c>
      <c r="H88" s="640">
        <f>H46+H71</f>
        <v>4.5999999999999999E-2</v>
      </c>
      <c r="I88" s="640">
        <f t="shared" ref="I88:R88" si="20">I46+I71</f>
        <v>8.1000000000000003E-2</v>
      </c>
      <c r="J88" s="640">
        <f t="shared" si="20"/>
        <v>0</v>
      </c>
      <c r="K88" s="640">
        <f t="shared" si="20"/>
        <v>0</v>
      </c>
      <c r="L88" s="640">
        <f t="shared" si="20"/>
        <v>-31.775000000000034</v>
      </c>
      <c r="M88" s="640">
        <f t="shared" si="20"/>
        <v>-104.71499999999997</v>
      </c>
      <c r="N88" s="640">
        <f t="shared" si="20"/>
        <v>5.5469999999999118</v>
      </c>
      <c r="O88" s="640">
        <f t="shared" si="20"/>
        <v>5.3920000000000528</v>
      </c>
      <c r="P88" s="640">
        <f t="shared" si="20"/>
        <v>2.3920000000000528</v>
      </c>
      <c r="Q88" s="640">
        <f t="shared" si="20"/>
        <v>2.3920000000000528</v>
      </c>
      <c r="R88" s="640">
        <f t="shared" si="20"/>
        <v>1.3920000000000528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648"/>
      <c r="G89" s="639" t="s">
        <v>202</v>
      </c>
      <c r="H89" s="649">
        <f t="shared" ref="H89:R89" si="21">H33+H38+H41-H45</f>
        <v>4.5999999999999999E-2</v>
      </c>
      <c r="I89" s="640">
        <f t="shared" si="21"/>
        <v>8.1000000000000003E-2</v>
      </c>
      <c r="J89" s="640">
        <f t="shared" si="21"/>
        <v>0</v>
      </c>
      <c r="K89" s="640">
        <f t="shared" si="21"/>
        <v>0</v>
      </c>
      <c r="L89" s="640">
        <f t="shared" si="21"/>
        <v>2.8499999999999659</v>
      </c>
      <c r="M89" s="640">
        <f t="shared" si="21"/>
        <v>8.4180000000000206</v>
      </c>
      <c r="N89" s="640">
        <f t="shared" si="21"/>
        <v>24.107999999999912</v>
      </c>
      <c r="O89" s="640">
        <f t="shared" si="21"/>
        <v>9.0000000000000533</v>
      </c>
      <c r="P89" s="640">
        <f t="shared" si="21"/>
        <v>6.0000000000000533</v>
      </c>
      <c r="Q89" s="640">
        <f t="shared" si="21"/>
        <v>6.0000000000000533</v>
      </c>
      <c r="R89" s="640">
        <f t="shared" si="21"/>
        <v>5.0000000000000533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650">
        <v>0</v>
      </c>
      <c r="G90" s="186" t="s">
        <v>206</v>
      </c>
      <c r="H90" s="651">
        <f t="shared" ref="H90:R90" si="22">H89/H33</f>
        <v>1</v>
      </c>
      <c r="I90" s="652">
        <f t="shared" si="22"/>
        <v>1</v>
      </c>
      <c r="J90" s="652" t="e">
        <f t="shared" si="22"/>
        <v>#DIV/0!</v>
      </c>
      <c r="K90" s="652" t="e">
        <f t="shared" si="22"/>
        <v>#DIV/0!</v>
      </c>
      <c r="L90" s="652">
        <f t="shared" si="22"/>
        <v>1.2082773356848668E-2</v>
      </c>
      <c r="M90" s="652">
        <f t="shared" si="22"/>
        <v>1.0257410058793092E-2</v>
      </c>
      <c r="N90" s="652">
        <f t="shared" si="22"/>
        <v>3.2337117264302301E-2</v>
      </c>
      <c r="O90" s="652">
        <f t="shared" si="22"/>
        <v>1.1795543905635718E-2</v>
      </c>
      <c r="P90" s="652">
        <f t="shared" si="22"/>
        <v>7.6628352490422137E-3</v>
      </c>
      <c r="Q90" s="652">
        <f t="shared" si="22"/>
        <v>7.5376884422111226E-3</v>
      </c>
      <c r="R90" s="652">
        <f t="shared" si="22"/>
        <v>6.1425061425062081E-3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648"/>
      <c r="G91" s="18" t="s">
        <v>210</v>
      </c>
      <c r="H91" s="653" t="e">
        <f t="shared" ref="H91:R91" si="23">-H33/(H38+H41)</f>
        <v>#DIV/0!</v>
      </c>
      <c r="I91" s="653" t="e">
        <f t="shared" si="23"/>
        <v>#DIV/0!</v>
      </c>
      <c r="J91" s="653" t="e">
        <f t="shared" si="23"/>
        <v>#DIV/0!</v>
      </c>
      <c r="K91" s="653" t="e">
        <f t="shared" si="23"/>
        <v>#DIV/0!</v>
      </c>
      <c r="L91" s="653">
        <f t="shared" si="23"/>
        <v>0.8812806372549018</v>
      </c>
      <c r="M91" s="653">
        <f t="shared" si="23"/>
        <v>0.89427372779775527</v>
      </c>
      <c r="N91" s="653">
        <f t="shared" si="23"/>
        <v>1.0074962093262736</v>
      </c>
      <c r="O91" s="653">
        <f t="shared" si="23"/>
        <v>1.0071171370946452</v>
      </c>
      <c r="P91" s="653">
        <f t="shared" si="23"/>
        <v>1.0030642781011725</v>
      </c>
      <c r="Q91" s="653">
        <f t="shared" si="23"/>
        <v>1.0030140825193294</v>
      </c>
      <c r="R91" s="653">
        <f t="shared" si="23"/>
        <v>1.0017130030715917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648"/>
      <c r="G92" s="639" t="s">
        <v>214</v>
      </c>
      <c r="H92" s="649">
        <f>H46</f>
        <v>4.5999999999999999E-2</v>
      </c>
      <c r="I92" s="649">
        <f t="shared" ref="I92:R92" si="24">I46</f>
        <v>8.1000000000000003E-2</v>
      </c>
      <c r="J92" s="649">
        <f t="shared" si="24"/>
        <v>0</v>
      </c>
      <c r="K92" s="649">
        <f t="shared" si="24"/>
        <v>0</v>
      </c>
      <c r="L92" s="649">
        <f t="shared" si="24"/>
        <v>-31.775000000000034</v>
      </c>
      <c r="M92" s="649">
        <f t="shared" si="24"/>
        <v>-97.024999999999977</v>
      </c>
      <c r="N92" s="649">
        <f t="shared" si="24"/>
        <v>5.5469999999999118</v>
      </c>
      <c r="O92" s="649">
        <f t="shared" si="24"/>
        <v>5.3920000000000528</v>
      </c>
      <c r="P92" s="649">
        <f t="shared" si="24"/>
        <v>2.3920000000000528</v>
      </c>
      <c r="Q92" s="649">
        <f t="shared" si="24"/>
        <v>2.3920000000000528</v>
      </c>
      <c r="R92" s="649">
        <f t="shared" si="24"/>
        <v>1.3920000000000528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650">
        <v>-0.3</v>
      </c>
      <c r="E93" s="650">
        <v>0</v>
      </c>
      <c r="G93" s="18" t="s">
        <v>218</v>
      </c>
      <c r="H93" s="654">
        <f>H46/H33</f>
        <v>1</v>
      </c>
      <c r="I93" s="655">
        <f t="shared" ref="I93:R93" si="25">I46/I33</f>
        <v>1</v>
      </c>
      <c r="J93" s="655" t="e">
        <f t="shared" si="25"/>
        <v>#DIV/0!</v>
      </c>
      <c r="K93" s="655" t="e">
        <f t="shared" si="25"/>
        <v>#DIV/0!</v>
      </c>
      <c r="L93" s="655">
        <f t="shared" si="25"/>
        <v>-0.13471232400486718</v>
      </c>
      <c r="M93" s="655">
        <f t="shared" si="25"/>
        <v>-0.11822585067170314</v>
      </c>
      <c r="N93" s="655">
        <f t="shared" si="25"/>
        <v>7.440434273481112E-3</v>
      </c>
      <c r="O93" s="655">
        <f t="shared" si="25"/>
        <v>7.0668414154653374E-3</v>
      </c>
      <c r="P93" s="655">
        <f t="shared" si="25"/>
        <v>3.0549169859515361E-3</v>
      </c>
      <c r="Q93" s="655">
        <f t="shared" si="25"/>
        <v>3.0050251256282068E-3</v>
      </c>
      <c r="R93" s="655">
        <f t="shared" si="25"/>
        <v>1.7100737100737748E-3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648"/>
      <c r="G94" s="186" t="s">
        <v>222</v>
      </c>
      <c r="H94" s="649">
        <f>H29+H30</f>
        <v>0</v>
      </c>
      <c r="I94" s="649">
        <f t="shared" ref="I94:R94" si="26">I29+I30</f>
        <v>0</v>
      </c>
      <c r="J94" s="649">
        <f t="shared" si="26"/>
        <v>0</v>
      </c>
      <c r="K94" s="649">
        <f t="shared" si="26"/>
        <v>0</v>
      </c>
      <c r="L94" s="649">
        <f t="shared" si="26"/>
        <v>-31.736999999999998</v>
      </c>
      <c r="M94" s="649">
        <f t="shared" si="26"/>
        <v>-128.386</v>
      </c>
      <c r="N94" s="649">
        <f t="shared" si="26"/>
        <v>-122</v>
      </c>
      <c r="O94" s="649">
        <f t="shared" si="26"/>
        <v>-117</v>
      </c>
      <c r="P94" s="649">
        <f t="shared" si="26"/>
        <v>-115</v>
      </c>
      <c r="Q94" s="649">
        <f t="shared" si="26"/>
        <v>-113</v>
      </c>
      <c r="R94" s="649">
        <f t="shared" si="26"/>
        <v>-112</v>
      </c>
    </row>
    <row r="95" spans="1:18" x14ac:dyDescent="0.2">
      <c r="G95" s="68" t="s">
        <v>223</v>
      </c>
      <c r="H95" s="645">
        <f t="shared" ref="H95:R95" si="27">H87</f>
        <v>2011</v>
      </c>
      <c r="I95" s="645">
        <f t="shared" si="27"/>
        <v>2012</v>
      </c>
      <c r="J95" s="645">
        <f t="shared" si="27"/>
        <v>2013</v>
      </c>
      <c r="K95" s="645">
        <f t="shared" si="27"/>
        <v>2014</v>
      </c>
      <c r="L95" s="645">
        <f t="shared" si="27"/>
        <v>2015</v>
      </c>
      <c r="M95" s="645">
        <f t="shared" si="27"/>
        <v>2016</v>
      </c>
      <c r="N95" s="645">
        <f t="shared" si="27"/>
        <v>2017</v>
      </c>
      <c r="O95" s="645">
        <f t="shared" si="27"/>
        <v>2018</v>
      </c>
      <c r="P95" s="645">
        <f t="shared" si="27"/>
        <v>2019</v>
      </c>
      <c r="Q95" s="645">
        <f t="shared" si="27"/>
        <v>2020</v>
      </c>
      <c r="R95" s="645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648"/>
      <c r="F96" s="69"/>
      <c r="G96" s="639" t="s">
        <v>227</v>
      </c>
      <c r="H96" s="649">
        <f t="shared" ref="H96:R96" si="28">H6+H12</f>
        <v>0</v>
      </c>
      <c r="I96" s="640">
        <f t="shared" si="28"/>
        <v>0</v>
      </c>
      <c r="J96" s="640">
        <f t="shared" si="28"/>
        <v>0</v>
      </c>
      <c r="K96" s="640">
        <f t="shared" si="28"/>
        <v>0</v>
      </c>
      <c r="L96" s="640">
        <f t="shared" si="28"/>
        <v>44.189</v>
      </c>
      <c r="M96" s="640">
        <f t="shared" si="28"/>
        <v>66.673000000000002</v>
      </c>
      <c r="N96" s="640">
        <f t="shared" si="28"/>
        <v>63</v>
      </c>
      <c r="O96" s="640">
        <f t="shared" si="28"/>
        <v>67</v>
      </c>
      <c r="P96" s="640">
        <f t="shared" si="28"/>
        <v>70</v>
      </c>
      <c r="Q96" s="640">
        <f t="shared" si="28"/>
        <v>72</v>
      </c>
      <c r="R96" s="640">
        <f t="shared" si="28"/>
        <v>74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648"/>
      <c r="F97" s="69"/>
      <c r="G97" s="18" t="s">
        <v>230</v>
      </c>
      <c r="H97" s="649">
        <f>H19</f>
        <v>0</v>
      </c>
      <c r="I97" s="649">
        <f t="shared" ref="I97:R97" si="29">I19</f>
        <v>0</v>
      </c>
      <c r="J97" s="649">
        <f t="shared" si="29"/>
        <v>0</v>
      </c>
      <c r="K97" s="649">
        <f t="shared" si="29"/>
        <v>0</v>
      </c>
      <c r="L97" s="649">
        <f t="shared" si="29"/>
        <v>24.25</v>
      </c>
      <c r="M97" s="649">
        <f t="shared" si="29"/>
        <v>41.448999999999998</v>
      </c>
      <c r="N97" s="649">
        <f t="shared" si="29"/>
        <v>18</v>
      </c>
      <c r="O97" s="649">
        <f t="shared" si="29"/>
        <v>15</v>
      </c>
      <c r="P97" s="649">
        <f t="shared" si="29"/>
        <v>14</v>
      </c>
      <c r="Q97" s="649">
        <f t="shared" si="29"/>
        <v>13</v>
      </c>
      <c r="R97" s="649">
        <f t="shared" si="29"/>
        <v>11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648"/>
      <c r="F98" s="69"/>
      <c r="G98" s="18" t="s">
        <v>234</v>
      </c>
      <c r="H98" s="649">
        <f t="shared" ref="H98:R98" si="30">H97-H96</f>
        <v>0</v>
      </c>
      <c r="I98" s="640">
        <f t="shared" si="30"/>
        <v>0</v>
      </c>
      <c r="J98" s="640">
        <f t="shared" si="30"/>
        <v>0</v>
      </c>
      <c r="K98" s="640">
        <f t="shared" si="30"/>
        <v>0</v>
      </c>
      <c r="L98" s="640">
        <f t="shared" si="30"/>
        <v>-19.939</v>
      </c>
      <c r="M98" s="640">
        <f t="shared" si="30"/>
        <v>-25.224000000000004</v>
      </c>
      <c r="N98" s="640">
        <f t="shared" si="30"/>
        <v>-45</v>
      </c>
      <c r="O98" s="640">
        <f t="shared" si="30"/>
        <v>-52</v>
      </c>
      <c r="P98" s="640">
        <f t="shared" si="30"/>
        <v>-56</v>
      </c>
      <c r="Q98" s="640">
        <f t="shared" si="30"/>
        <v>-59</v>
      </c>
      <c r="R98" s="640">
        <f t="shared" si="30"/>
        <v>-63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650">
        <v>0.4</v>
      </c>
      <c r="F99" s="69"/>
      <c r="G99" s="18" t="s">
        <v>238</v>
      </c>
      <c r="H99" s="656">
        <f t="shared" ref="H99:R99" si="31">H98/H33</f>
        <v>0</v>
      </c>
      <c r="I99" s="652">
        <f t="shared" si="31"/>
        <v>0</v>
      </c>
      <c r="J99" s="652" t="e">
        <f t="shared" si="31"/>
        <v>#DIV/0!</v>
      </c>
      <c r="K99" s="652" t="e">
        <f t="shared" si="31"/>
        <v>#DIV/0!</v>
      </c>
      <c r="L99" s="652">
        <f t="shared" si="31"/>
        <v>-8.4532778232353861E-2</v>
      </c>
      <c r="M99" s="652">
        <f t="shared" si="31"/>
        <v>-3.0735674901757704E-2</v>
      </c>
      <c r="N99" s="652">
        <f t="shared" si="31"/>
        <v>-6.036047274322253E-2</v>
      </c>
      <c r="O99" s="652">
        <f t="shared" si="31"/>
        <v>-6.8152031454783754E-2</v>
      </c>
      <c r="P99" s="652">
        <f t="shared" si="31"/>
        <v>-7.151979565772669E-2</v>
      </c>
      <c r="Q99" s="652">
        <f t="shared" si="31"/>
        <v>-7.4120603015075379E-2</v>
      </c>
      <c r="R99" s="652">
        <f t="shared" si="31"/>
        <v>-7.7395577395577397E-2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657">
        <v>0</v>
      </c>
      <c r="E100" s="657">
        <v>5</v>
      </c>
      <c r="F100" s="69"/>
      <c r="G100" s="18" t="s">
        <v>242</v>
      </c>
      <c r="H100" s="653">
        <f t="shared" ref="H100:R100" si="32">H98/H89</f>
        <v>0</v>
      </c>
      <c r="I100" s="653">
        <f t="shared" si="32"/>
        <v>0</v>
      </c>
      <c r="J100" s="653" t="e">
        <f t="shared" si="32"/>
        <v>#DIV/0!</v>
      </c>
      <c r="K100" s="653" t="e">
        <f t="shared" si="32"/>
        <v>#DIV/0!</v>
      </c>
      <c r="L100" s="653">
        <f t="shared" si="32"/>
        <v>-6.996140350877277</v>
      </c>
      <c r="M100" s="653">
        <f t="shared" si="32"/>
        <v>-2.9964362081254388</v>
      </c>
      <c r="N100" s="653">
        <f t="shared" si="32"/>
        <v>-1.8666002986560546</v>
      </c>
      <c r="O100" s="653">
        <f t="shared" si="32"/>
        <v>-5.7777777777777439</v>
      </c>
      <c r="P100" s="653">
        <f t="shared" si="32"/>
        <v>-9.3333333333332504</v>
      </c>
      <c r="Q100" s="653">
        <f t="shared" si="32"/>
        <v>-9.8333333333332469</v>
      </c>
      <c r="R100" s="653">
        <f t="shared" si="32"/>
        <v>-12.599999999999866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648"/>
      <c r="F101" s="69"/>
      <c r="G101" s="18" t="s">
        <v>246</v>
      </c>
      <c r="H101" s="649">
        <f t="shared" ref="H101:R101" si="33">-(H75+H77+H78+H79+H80+H81)</f>
        <v>0</v>
      </c>
      <c r="I101" s="649">
        <f t="shared" si="33"/>
        <v>0.311</v>
      </c>
      <c r="J101" s="649">
        <f t="shared" si="33"/>
        <v>0</v>
      </c>
      <c r="K101" s="649">
        <f t="shared" si="33"/>
        <v>0</v>
      </c>
      <c r="L101" s="649">
        <f t="shared" si="33"/>
        <v>0</v>
      </c>
      <c r="M101" s="649">
        <f t="shared" si="33"/>
        <v>0</v>
      </c>
      <c r="N101" s="649">
        <f t="shared" si="33"/>
        <v>0</v>
      </c>
      <c r="O101" s="649">
        <f t="shared" si="33"/>
        <v>0</v>
      </c>
      <c r="P101" s="649">
        <f t="shared" si="33"/>
        <v>0</v>
      </c>
      <c r="Q101" s="649">
        <f t="shared" si="33"/>
        <v>0</v>
      </c>
      <c r="R101" s="649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657">
        <v>1.2</v>
      </c>
      <c r="F102" s="69"/>
      <c r="G102" s="18" t="s">
        <v>250</v>
      </c>
      <c r="H102" s="658" t="e">
        <f t="shared" ref="H102:R102" si="34">H89/H101</f>
        <v>#DIV/0!</v>
      </c>
      <c r="I102" s="653">
        <f t="shared" si="34"/>
        <v>0.26045016077170419</v>
      </c>
      <c r="J102" s="653" t="e">
        <f t="shared" si="34"/>
        <v>#DIV/0!</v>
      </c>
      <c r="K102" s="653" t="e">
        <f t="shared" si="34"/>
        <v>#DIV/0!</v>
      </c>
      <c r="L102" s="653" t="e">
        <f t="shared" si="34"/>
        <v>#DIV/0!</v>
      </c>
      <c r="M102" s="653" t="e">
        <f t="shared" si="34"/>
        <v>#DIV/0!</v>
      </c>
      <c r="N102" s="653" t="e">
        <f t="shared" si="34"/>
        <v>#DIV/0!</v>
      </c>
      <c r="O102" s="653" t="e">
        <f t="shared" si="34"/>
        <v>#DIV/0!</v>
      </c>
      <c r="P102" s="653" t="e">
        <f t="shared" si="34"/>
        <v>#DIV/0!</v>
      </c>
      <c r="Q102" s="653" t="e">
        <f t="shared" si="34"/>
        <v>#DIV/0!</v>
      </c>
      <c r="R102" s="653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657">
        <v>0</v>
      </c>
      <c r="F103" s="69"/>
      <c r="G103" s="639" t="s">
        <v>254</v>
      </c>
      <c r="H103" s="649">
        <f t="shared" ref="H103:R103" si="35">H5-H20</f>
        <v>0</v>
      </c>
      <c r="I103" s="649">
        <f t="shared" si="35"/>
        <v>0</v>
      </c>
      <c r="J103" s="649">
        <f t="shared" si="35"/>
        <v>0</v>
      </c>
      <c r="K103" s="649">
        <f t="shared" si="35"/>
        <v>0</v>
      </c>
      <c r="L103" s="649">
        <f t="shared" si="35"/>
        <v>41.69</v>
      </c>
      <c r="M103" s="649">
        <f t="shared" si="35"/>
        <v>42.793999999999997</v>
      </c>
      <c r="N103" s="649">
        <f t="shared" si="35"/>
        <v>86</v>
      </c>
      <c r="O103" s="649">
        <f t="shared" si="35"/>
        <v>92</v>
      </c>
      <c r="P103" s="649">
        <f t="shared" si="35"/>
        <v>97</v>
      </c>
      <c r="Q103" s="649">
        <f t="shared" si="35"/>
        <v>102</v>
      </c>
      <c r="R103" s="649">
        <f t="shared" si="35"/>
        <v>105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657">
        <v>1</v>
      </c>
      <c r="F104" s="69"/>
      <c r="G104" s="18" t="s">
        <v>258</v>
      </c>
      <c r="H104" s="658" t="e">
        <f t="shared" ref="H104:R104" si="36">H5/H20</f>
        <v>#DIV/0!</v>
      </c>
      <c r="I104" s="658" t="e">
        <f t="shared" si="36"/>
        <v>#DIV/0!</v>
      </c>
      <c r="J104" s="658" t="e">
        <f t="shared" si="36"/>
        <v>#DIV/0!</v>
      </c>
      <c r="K104" s="658" t="e">
        <f t="shared" si="36"/>
        <v>#DIV/0!</v>
      </c>
      <c r="L104" s="658">
        <f t="shared" si="36"/>
        <v>2.7191752577319588</v>
      </c>
      <c r="M104" s="658">
        <f t="shared" si="36"/>
        <v>2.0324495162730103</v>
      </c>
      <c r="N104" s="658" t="e">
        <f t="shared" si="36"/>
        <v>#DIV/0!</v>
      </c>
      <c r="O104" s="658" t="e">
        <f t="shared" si="36"/>
        <v>#DIV/0!</v>
      </c>
      <c r="P104" s="658" t="e">
        <f t="shared" si="36"/>
        <v>#DIV/0!</v>
      </c>
      <c r="Q104" s="658" t="e">
        <f t="shared" si="36"/>
        <v>#DIV/0!</v>
      </c>
      <c r="R104" s="658" t="e">
        <f t="shared" si="36"/>
        <v>#DIV/0!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657">
        <v>1</v>
      </c>
      <c r="F105" s="69"/>
      <c r="G105" s="186" t="s">
        <v>262</v>
      </c>
      <c r="H105" s="658">
        <f t="shared" ref="H105:R105" si="37">-H6/((H38+H41-H45+H47)/12)</f>
        <v>0</v>
      </c>
      <c r="I105" s="658" t="e">
        <f t="shared" si="37"/>
        <v>#DIV/0!</v>
      </c>
      <c r="J105" s="658" t="e">
        <f t="shared" si="37"/>
        <v>#DIV/0!</v>
      </c>
      <c r="K105" s="658" t="e">
        <f t="shared" si="37"/>
        <v>#DIV/0!</v>
      </c>
      <c r="L105" s="658">
        <f t="shared" si="37"/>
        <v>2.2759748481661908</v>
      </c>
      <c r="M105" s="658">
        <f t="shared" si="37"/>
        <v>0.98545726416244717</v>
      </c>
      <c r="N105" s="658">
        <f t="shared" si="37"/>
        <v>1.0484884291812637</v>
      </c>
      <c r="O105" s="658">
        <f t="shared" si="37"/>
        <v>1.0663129973474801</v>
      </c>
      <c r="P105" s="658">
        <f t="shared" si="37"/>
        <v>1.0810810810810811</v>
      </c>
      <c r="Q105" s="658">
        <f t="shared" si="37"/>
        <v>1.0936708860759494</v>
      </c>
      <c r="R105" s="658">
        <f t="shared" si="37"/>
        <v>1.0976514215080346</v>
      </c>
    </row>
    <row r="106" spans="1:18" x14ac:dyDescent="0.2">
      <c r="C106" s="16"/>
      <c r="F106" s="69"/>
      <c r="G106" s="68" t="s">
        <v>263</v>
      </c>
      <c r="H106" s="645">
        <f t="shared" ref="H106:R106" si="38">H95</f>
        <v>2011</v>
      </c>
      <c r="I106" s="645">
        <f t="shared" si="38"/>
        <v>2012</v>
      </c>
      <c r="J106" s="645">
        <f t="shared" si="38"/>
        <v>2013</v>
      </c>
      <c r="K106" s="645">
        <f t="shared" si="38"/>
        <v>2014</v>
      </c>
      <c r="L106" s="645">
        <f t="shared" si="38"/>
        <v>2015</v>
      </c>
      <c r="M106" s="645">
        <f t="shared" si="38"/>
        <v>2016</v>
      </c>
      <c r="N106" s="645">
        <f t="shared" si="38"/>
        <v>2017</v>
      </c>
      <c r="O106" s="645">
        <f t="shared" si="38"/>
        <v>2018</v>
      </c>
      <c r="P106" s="645">
        <f t="shared" si="38"/>
        <v>2019</v>
      </c>
      <c r="Q106" s="645">
        <f t="shared" si="38"/>
        <v>2020</v>
      </c>
      <c r="R106" s="645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650">
        <v>0.6</v>
      </c>
      <c r="F107" s="69"/>
      <c r="G107" s="639" t="s">
        <v>267</v>
      </c>
      <c r="H107" s="656" t="e">
        <f t="shared" ref="H107:R107" si="39">H17/H4</f>
        <v>#DIV/0!</v>
      </c>
      <c r="I107" s="656" t="e">
        <f t="shared" si="39"/>
        <v>#DIV/0!</v>
      </c>
      <c r="J107" s="656" t="e">
        <f t="shared" si="39"/>
        <v>#DIV/0!</v>
      </c>
      <c r="K107" s="656" t="e">
        <f t="shared" si="39"/>
        <v>#DIV/0!</v>
      </c>
      <c r="L107" s="656">
        <f t="shared" si="39"/>
        <v>0</v>
      </c>
      <c r="M107" s="656">
        <f t="shared" si="39"/>
        <v>0</v>
      </c>
      <c r="N107" s="656">
        <f t="shared" si="39"/>
        <v>0</v>
      </c>
      <c r="O107" s="656">
        <f t="shared" si="39"/>
        <v>0</v>
      </c>
      <c r="P107" s="656">
        <f t="shared" si="39"/>
        <v>0</v>
      </c>
      <c r="Q107" s="656">
        <f t="shared" si="39"/>
        <v>0</v>
      </c>
      <c r="R107" s="656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650">
        <v>0.4</v>
      </c>
      <c r="F108" s="69"/>
      <c r="G108" s="186" t="s">
        <v>271</v>
      </c>
      <c r="H108" s="656" t="e">
        <f t="shared" ref="H108:R108" si="40">H27/H17</f>
        <v>#DIV/0!</v>
      </c>
      <c r="I108" s="656" t="e">
        <f t="shared" si="40"/>
        <v>#DIV/0!</v>
      </c>
      <c r="J108" s="656" t="e">
        <f t="shared" si="40"/>
        <v>#DIV/0!</v>
      </c>
      <c r="K108" s="656" t="e">
        <f t="shared" si="40"/>
        <v>#DIV/0!</v>
      </c>
      <c r="L108" s="656" t="e">
        <f t="shared" si="40"/>
        <v>#DIV/0!</v>
      </c>
      <c r="M108" s="656" t="e">
        <f t="shared" si="40"/>
        <v>#DIV/0!</v>
      </c>
      <c r="N108" s="656" t="e">
        <f t="shared" si="40"/>
        <v>#DIV/0!</v>
      </c>
      <c r="O108" s="656" t="e">
        <f t="shared" si="40"/>
        <v>#DIV/0!</v>
      </c>
      <c r="P108" s="656" t="e">
        <f t="shared" si="40"/>
        <v>#DIV/0!</v>
      </c>
      <c r="Q108" s="656" t="e">
        <f t="shared" si="40"/>
        <v>#DIV/0!</v>
      </c>
      <c r="R108" s="656" t="e">
        <f t="shared" si="40"/>
        <v>#DIV/0!</v>
      </c>
    </row>
    <row r="109" spans="1:18" x14ac:dyDescent="0.2">
      <c r="C109" s="16"/>
      <c r="F109" s="69"/>
      <c r="G109" s="198" t="s">
        <v>272</v>
      </c>
      <c r="H109" s="645">
        <f t="shared" ref="H109:R109" si="41">H95</f>
        <v>2011</v>
      </c>
      <c r="I109" s="645">
        <f t="shared" si="41"/>
        <v>2012</v>
      </c>
      <c r="J109" s="645">
        <f t="shared" si="41"/>
        <v>2013</v>
      </c>
      <c r="K109" s="645">
        <f t="shared" si="41"/>
        <v>2014</v>
      </c>
      <c r="L109" s="645">
        <f t="shared" si="41"/>
        <v>2015</v>
      </c>
      <c r="M109" s="645">
        <f t="shared" si="41"/>
        <v>2016</v>
      </c>
      <c r="N109" s="645">
        <f t="shared" si="41"/>
        <v>2017</v>
      </c>
      <c r="O109" s="645">
        <f t="shared" si="41"/>
        <v>2018</v>
      </c>
      <c r="P109" s="645">
        <f t="shared" si="41"/>
        <v>2019</v>
      </c>
      <c r="Q109" s="645">
        <f t="shared" si="41"/>
        <v>2020</v>
      </c>
      <c r="R109" s="645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648"/>
      <c r="F110" s="69"/>
      <c r="G110" s="18" t="s">
        <v>276</v>
      </c>
      <c r="H110" s="659" t="e">
        <f t="shared" ref="H110:R110" si="42">H10/H4</f>
        <v>#DIV/0!</v>
      </c>
      <c r="I110" s="659" t="e">
        <f t="shared" si="42"/>
        <v>#DIV/0!</v>
      </c>
      <c r="J110" s="659" t="e">
        <f t="shared" si="42"/>
        <v>#DIV/0!</v>
      </c>
      <c r="K110" s="659" t="e">
        <f t="shared" si="42"/>
        <v>#DIV/0!</v>
      </c>
      <c r="L110" s="659">
        <f t="shared" si="42"/>
        <v>0.73246779592250733</v>
      </c>
      <c r="M110" s="659">
        <f t="shared" si="42"/>
        <v>0.49562338346584928</v>
      </c>
      <c r="N110" s="659">
        <f t="shared" si="42"/>
        <v>0.42666666666666669</v>
      </c>
      <c r="O110" s="659">
        <f t="shared" si="42"/>
        <v>0.39473684210526316</v>
      </c>
      <c r="P110" s="659">
        <f t="shared" si="42"/>
        <v>0.36601307189542481</v>
      </c>
      <c r="Q110" s="659">
        <f t="shared" si="42"/>
        <v>0.33766233766233766</v>
      </c>
      <c r="R110" s="659">
        <f t="shared" si="42"/>
        <v>0.31372549019607843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648"/>
      <c r="F111" s="69"/>
      <c r="G111" s="18" t="s">
        <v>280</v>
      </c>
      <c r="H111" s="659" t="e">
        <f t="shared" ref="H111:R111" si="43">-(H58)/H15</f>
        <v>#DIV/0!</v>
      </c>
      <c r="I111" s="659" t="e">
        <f t="shared" si="43"/>
        <v>#DIV/0!</v>
      </c>
      <c r="J111" s="659" t="e">
        <f t="shared" si="43"/>
        <v>#DIV/0!</v>
      </c>
      <c r="K111" s="659" t="e">
        <f t="shared" si="43"/>
        <v>#DIV/0!</v>
      </c>
      <c r="L111" s="659">
        <f t="shared" si="43"/>
        <v>0</v>
      </c>
      <c r="M111" s="659">
        <f t="shared" si="43"/>
        <v>9.2895712784334561E-2</v>
      </c>
      <c r="N111" s="659">
        <f t="shared" si="43"/>
        <v>0</v>
      </c>
      <c r="O111" s="659">
        <f t="shared" si="43"/>
        <v>0</v>
      </c>
      <c r="P111" s="659">
        <f t="shared" si="43"/>
        <v>0</v>
      </c>
      <c r="Q111" s="659">
        <f t="shared" si="43"/>
        <v>0</v>
      </c>
      <c r="R111" s="659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648"/>
      <c r="F112" s="69"/>
      <c r="G112" s="639" t="s">
        <v>284</v>
      </c>
      <c r="H112" s="653" t="e">
        <f t="shared" ref="H112:R112" si="44">H33/H4</f>
        <v>#DIV/0!</v>
      </c>
      <c r="I112" s="653" t="e">
        <f t="shared" si="44"/>
        <v>#DIV/0!</v>
      </c>
      <c r="J112" s="653" t="e">
        <f t="shared" si="44"/>
        <v>#DIV/0!</v>
      </c>
      <c r="K112" s="653" t="e">
        <f t="shared" si="44"/>
        <v>#DIV/0!</v>
      </c>
      <c r="L112" s="653">
        <f t="shared" si="44"/>
        <v>0.95698549548635758</v>
      </c>
      <c r="M112" s="653">
        <f t="shared" si="44"/>
        <v>4.913515422933231</v>
      </c>
      <c r="N112" s="653">
        <f t="shared" si="44"/>
        <v>4.9701399999999998</v>
      </c>
      <c r="O112" s="653">
        <f t="shared" si="44"/>
        <v>5.0197368421052628</v>
      </c>
      <c r="P112" s="653">
        <f t="shared" si="44"/>
        <v>5.117647058823529</v>
      </c>
      <c r="Q112" s="653">
        <f t="shared" si="44"/>
        <v>5.1688311688311686</v>
      </c>
      <c r="R112" s="653">
        <f t="shared" si="44"/>
        <v>5.3202614379084965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648"/>
      <c r="F113" s="69"/>
      <c r="G113" s="186" t="s">
        <v>288</v>
      </c>
      <c r="H113" s="653" t="e">
        <f t="shared" ref="H113:R113" si="45">H33/H15</f>
        <v>#DIV/0!</v>
      </c>
      <c r="I113" s="653" t="e">
        <f t="shared" si="45"/>
        <v>#DIV/0!</v>
      </c>
      <c r="J113" s="653" t="e">
        <f t="shared" si="45"/>
        <v>#DIV/0!</v>
      </c>
      <c r="K113" s="653" t="e">
        <f t="shared" si="45"/>
        <v>#DIV/0!</v>
      </c>
      <c r="L113" s="653">
        <f t="shared" si="45"/>
        <v>1.3065222809981443</v>
      </c>
      <c r="M113" s="653">
        <f t="shared" si="45"/>
        <v>9.9138087242241557</v>
      </c>
      <c r="N113" s="653">
        <f t="shared" si="45"/>
        <v>11.648765624999999</v>
      </c>
      <c r="O113" s="653">
        <f t="shared" si="45"/>
        <v>12.716666666666667</v>
      </c>
      <c r="P113" s="653">
        <f t="shared" si="45"/>
        <v>13.982142857142858</v>
      </c>
      <c r="Q113" s="653">
        <f t="shared" si="45"/>
        <v>15.307692307692308</v>
      </c>
      <c r="R113" s="653">
        <f t="shared" si="45"/>
        <v>16.958333333333332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650">
        <v>0.5</v>
      </c>
      <c r="E114" s="650">
        <f>1/3</f>
        <v>0.33333333333333331</v>
      </c>
      <c r="F114" s="69"/>
      <c r="G114" s="18" t="s">
        <v>292</v>
      </c>
      <c r="H114" s="659" t="e">
        <f t="shared" ref="H114:R114" si="46">H27/H4</f>
        <v>#DIV/0!</v>
      </c>
      <c r="I114" s="659" t="e">
        <f t="shared" si="46"/>
        <v>#DIV/0!</v>
      </c>
      <c r="J114" s="659" t="e">
        <f t="shared" si="46"/>
        <v>#DIV/0!</v>
      </c>
      <c r="K114" s="659" t="e">
        <f t="shared" si="46"/>
        <v>#DIV/0!</v>
      </c>
      <c r="L114" s="659">
        <f t="shared" si="46"/>
        <v>0.90160868242215242</v>
      </c>
      <c r="M114" s="659">
        <f t="shared" si="46"/>
        <v>0.75183805920107305</v>
      </c>
      <c r="N114" s="659">
        <f t="shared" si="46"/>
        <v>0.88</v>
      </c>
      <c r="O114" s="659">
        <f t="shared" si="46"/>
        <v>0.90131578947368418</v>
      </c>
      <c r="P114" s="659">
        <f t="shared" si="46"/>
        <v>0.90849673202614378</v>
      </c>
      <c r="Q114" s="659">
        <f t="shared" si="46"/>
        <v>0.91558441558441561</v>
      </c>
      <c r="R114" s="659">
        <f t="shared" si="46"/>
        <v>0.92810457516339873</v>
      </c>
    </row>
    <row r="115" spans="1:19" x14ac:dyDescent="0.2">
      <c r="A115" s="77"/>
      <c r="C115" s="77"/>
      <c r="D115" s="78"/>
      <c r="E115" s="79"/>
      <c r="F115" s="69"/>
      <c r="G115" s="637" t="s">
        <v>293</v>
      </c>
      <c r="H115" s="645">
        <f t="shared" ref="H115:R115" si="47">H109</f>
        <v>2011</v>
      </c>
      <c r="I115" s="645">
        <f t="shared" si="47"/>
        <v>2012</v>
      </c>
      <c r="J115" s="645">
        <f t="shared" si="47"/>
        <v>2013</v>
      </c>
      <c r="K115" s="645">
        <f t="shared" si="47"/>
        <v>2014</v>
      </c>
      <c r="L115" s="645">
        <f t="shared" si="47"/>
        <v>2015</v>
      </c>
      <c r="M115" s="645">
        <f t="shared" si="47"/>
        <v>2016</v>
      </c>
      <c r="N115" s="645">
        <f t="shared" si="47"/>
        <v>2017</v>
      </c>
      <c r="O115" s="645">
        <f t="shared" si="47"/>
        <v>2018</v>
      </c>
      <c r="P115" s="645">
        <f t="shared" si="47"/>
        <v>2019</v>
      </c>
      <c r="Q115" s="645">
        <f t="shared" si="47"/>
        <v>2020</v>
      </c>
      <c r="R115" s="645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650">
        <v>0.05</v>
      </c>
      <c r="G116" s="639" t="s">
        <v>297</v>
      </c>
      <c r="H116" s="652">
        <f t="shared" ref="H116:R116" si="48">H35/H33</f>
        <v>0</v>
      </c>
      <c r="I116" s="652">
        <f t="shared" si="48"/>
        <v>0</v>
      </c>
      <c r="J116" s="652" t="e">
        <f t="shared" si="48"/>
        <v>#DIV/0!</v>
      </c>
      <c r="K116" s="652" t="e">
        <f t="shared" si="48"/>
        <v>#DIV/0!</v>
      </c>
      <c r="L116" s="652">
        <f t="shared" si="48"/>
        <v>0.18711764381679974</v>
      </c>
      <c r="M116" s="652">
        <f t="shared" si="48"/>
        <v>0.13632680415511622</v>
      </c>
      <c r="N116" s="652">
        <f t="shared" si="48"/>
        <v>8.0480630324296698E-2</v>
      </c>
      <c r="O116" s="652">
        <f t="shared" si="48"/>
        <v>7.8636959370904327E-2</v>
      </c>
      <c r="P116" s="652">
        <f t="shared" si="48"/>
        <v>8.3014048531289908E-2</v>
      </c>
      <c r="Q116" s="652">
        <f t="shared" si="48"/>
        <v>8.1658291457286439E-2</v>
      </c>
      <c r="R116" s="652">
        <f t="shared" si="48"/>
        <v>7.9852579852579847E-2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650">
        <v>0.95</v>
      </c>
      <c r="G117" s="18" t="s">
        <v>301</v>
      </c>
      <c r="H117" s="659">
        <f t="shared" ref="H117:R117" si="49">(H36+H34)/H33</f>
        <v>0</v>
      </c>
      <c r="I117" s="659">
        <f t="shared" si="49"/>
        <v>0</v>
      </c>
      <c r="J117" s="659" t="e">
        <f t="shared" si="49"/>
        <v>#DIV/0!</v>
      </c>
      <c r="K117" s="659" t="e">
        <f t="shared" si="49"/>
        <v>#DIV/0!</v>
      </c>
      <c r="L117" s="659">
        <f t="shared" si="49"/>
        <v>0.80990193875517758</v>
      </c>
      <c r="M117" s="659">
        <f t="shared" si="49"/>
        <v>0.86367319584488378</v>
      </c>
      <c r="N117" s="659">
        <f t="shared" si="49"/>
        <v>0.91951936967570325</v>
      </c>
      <c r="O117" s="659">
        <f t="shared" si="49"/>
        <v>0.92136304062909569</v>
      </c>
      <c r="P117" s="659">
        <f t="shared" si="49"/>
        <v>0.91698595146871009</v>
      </c>
      <c r="Q117" s="659">
        <f t="shared" si="49"/>
        <v>0.91834170854271358</v>
      </c>
      <c r="R117" s="659">
        <f t="shared" si="49"/>
        <v>0.92014742014742013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650">
        <v>0.95</v>
      </c>
      <c r="G118" s="186" t="s">
        <v>305</v>
      </c>
      <c r="H118" s="652" t="e">
        <f t="shared" ref="H118:R118" si="50">H38/(H38+H41)</f>
        <v>#DIV/0!</v>
      </c>
      <c r="I118" s="652" t="e">
        <f t="shared" si="50"/>
        <v>#DIV/0!</v>
      </c>
      <c r="J118" s="652" t="e">
        <f t="shared" si="50"/>
        <v>#DIV/0!</v>
      </c>
      <c r="K118" s="652" t="e">
        <f t="shared" si="50"/>
        <v>#DIV/0!</v>
      </c>
      <c r="L118" s="652">
        <f t="shared" si="50"/>
        <v>0</v>
      </c>
      <c r="M118" s="652">
        <f t="shared" si="50"/>
        <v>0</v>
      </c>
      <c r="N118" s="652">
        <f t="shared" si="50"/>
        <v>0</v>
      </c>
      <c r="O118" s="652">
        <f t="shared" si="50"/>
        <v>0</v>
      </c>
      <c r="P118" s="652">
        <f t="shared" si="50"/>
        <v>0</v>
      </c>
      <c r="Q118" s="652">
        <f t="shared" si="50"/>
        <v>0</v>
      </c>
      <c r="R118" s="652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637" t="s">
        <v>306</v>
      </c>
      <c r="H119" s="645">
        <f>H115</f>
        <v>2011</v>
      </c>
      <c r="I119" s="645">
        <f t="shared" ref="I119:R119" si="51">I115</f>
        <v>2012</v>
      </c>
      <c r="J119" s="645">
        <f t="shared" si="51"/>
        <v>2013</v>
      </c>
      <c r="K119" s="645">
        <f t="shared" si="51"/>
        <v>2014</v>
      </c>
      <c r="L119" s="645">
        <f t="shared" si="51"/>
        <v>2015</v>
      </c>
      <c r="M119" s="645">
        <f t="shared" si="51"/>
        <v>2016</v>
      </c>
      <c r="N119" s="645">
        <f t="shared" si="51"/>
        <v>2017</v>
      </c>
      <c r="O119" s="645">
        <f t="shared" si="51"/>
        <v>2018</v>
      </c>
      <c r="P119" s="645">
        <f t="shared" si="51"/>
        <v>2019</v>
      </c>
      <c r="Q119" s="645">
        <f t="shared" si="51"/>
        <v>2020</v>
      </c>
      <c r="R119" s="645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660">
        <v>0.5</v>
      </c>
      <c r="E120" s="661" t="s">
        <v>310</v>
      </c>
      <c r="F120" s="4"/>
      <c r="G120" s="639" t="s">
        <v>311</v>
      </c>
      <c r="H120" s="653" t="str">
        <f t="shared" ref="H120:R120" si="52">IF(H116&lt;$D$120,$E$120,H35/H4)</f>
        <v>N/A</v>
      </c>
      <c r="I120" s="653" t="str">
        <f t="shared" si="52"/>
        <v>N/A</v>
      </c>
      <c r="J120" s="653" t="e">
        <f t="shared" si="52"/>
        <v>#DIV/0!</v>
      </c>
      <c r="K120" s="653" t="e">
        <f t="shared" si="52"/>
        <v>#DIV/0!</v>
      </c>
      <c r="L120" s="653" t="str">
        <f t="shared" si="52"/>
        <v>N/A</v>
      </c>
      <c r="M120" s="653" t="str">
        <f t="shared" si="52"/>
        <v>N/A</v>
      </c>
      <c r="N120" s="653" t="str">
        <f t="shared" si="52"/>
        <v>N/A</v>
      </c>
      <c r="O120" s="653" t="str">
        <f t="shared" si="52"/>
        <v>N/A</v>
      </c>
      <c r="P120" s="653" t="str">
        <f t="shared" si="52"/>
        <v>N/A</v>
      </c>
      <c r="Q120" s="653" t="str">
        <f t="shared" si="52"/>
        <v>N/A</v>
      </c>
      <c r="R120" s="653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660">
        <v>0.5</v>
      </c>
      <c r="E121" s="661" t="s">
        <v>310</v>
      </c>
      <c r="F121" s="4"/>
      <c r="G121" s="18" t="s">
        <v>315</v>
      </c>
      <c r="H121" s="653" t="str">
        <f t="shared" ref="H121:R121" si="53">IF(H116&lt;$D$121,$E$121,H35/H15)</f>
        <v>N/A</v>
      </c>
      <c r="I121" s="653" t="str">
        <f t="shared" si="53"/>
        <v>N/A</v>
      </c>
      <c r="J121" s="653" t="e">
        <f t="shared" si="53"/>
        <v>#DIV/0!</v>
      </c>
      <c r="K121" s="653" t="e">
        <f t="shared" si="53"/>
        <v>#DIV/0!</v>
      </c>
      <c r="L121" s="653" t="str">
        <f t="shared" si="53"/>
        <v>N/A</v>
      </c>
      <c r="M121" s="653" t="str">
        <f t="shared" si="53"/>
        <v>N/A</v>
      </c>
      <c r="N121" s="653" t="str">
        <f t="shared" si="53"/>
        <v>N/A</v>
      </c>
      <c r="O121" s="653" t="str">
        <f t="shared" si="53"/>
        <v>N/A</v>
      </c>
      <c r="P121" s="653" t="str">
        <f t="shared" si="53"/>
        <v>N/A</v>
      </c>
      <c r="Q121" s="653" t="str">
        <f t="shared" si="53"/>
        <v>N/A</v>
      </c>
      <c r="R121" s="653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660">
        <v>0.5</v>
      </c>
      <c r="E122" s="661" t="s">
        <v>310</v>
      </c>
      <c r="F122" s="4"/>
      <c r="G122" s="639" t="s">
        <v>318</v>
      </c>
      <c r="H122" s="659" t="str">
        <f t="shared" ref="H122:R122" si="54">IF(H116&lt;$D$122,$E$122,H46/H33)</f>
        <v>N/A</v>
      </c>
      <c r="I122" s="659" t="str">
        <f t="shared" si="54"/>
        <v>N/A</v>
      </c>
      <c r="J122" s="659" t="e">
        <f t="shared" si="54"/>
        <v>#DIV/0!</v>
      </c>
      <c r="K122" s="659" t="e">
        <f t="shared" si="54"/>
        <v>#DIV/0!</v>
      </c>
      <c r="L122" s="659" t="str">
        <f t="shared" si="54"/>
        <v>N/A</v>
      </c>
      <c r="M122" s="659" t="str">
        <f t="shared" si="54"/>
        <v>N/A</v>
      </c>
      <c r="N122" s="659" t="str">
        <f t="shared" si="54"/>
        <v>N/A</v>
      </c>
      <c r="O122" s="659" t="str">
        <f t="shared" si="54"/>
        <v>N/A</v>
      </c>
      <c r="P122" s="659" t="str">
        <f t="shared" si="54"/>
        <v>N/A</v>
      </c>
      <c r="Q122" s="659" t="str">
        <f t="shared" si="54"/>
        <v>N/A</v>
      </c>
      <c r="R122" s="659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660">
        <v>0.5</v>
      </c>
      <c r="E123" s="661" t="s">
        <v>310</v>
      </c>
      <c r="F123" s="4"/>
      <c r="G123" s="18" t="s">
        <v>322</v>
      </c>
      <c r="H123" s="659" t="str">
        <f t="shared" ref="H123:R123" si="55">IF(H116&lt;$D$122,$E$123,H51/H33)</f>
        <v>N/A</v>
      </c>
      <c r="I123" s="659" t="str">
        <f t="shared" si="55"/>
        <v>N/A</v>
      </c>
      <c r="J123" s="659" t="e">
        <f t="shared" si="55"/>
        <v>#DIV/0!</v>
      </c>
      <c r="K123" s="659" t="e">
        <f t="shared" si="55"/>
        <v>#DIV/0!</v>
      </c>
      <c r="L123" s="659" t="str">
        <f t="shared" si="55"/>
        <v>N/A</v>
      </c>
      <c r="M123" s="659" t="str">
        <f t="shared" si="55"/>
        <v>N/A</v>
      </c>
      <c r="N123" s="659" t="str">
        <f t="shared" si="55"/>
        <v>N/A</v>
      </c>
      <c r="O123" s="659" t="str">
        <f t="shared" si="55"/>
        <v>N/A</v>
      </c>
      <c r="P123" s="659" t="str">
        <f t="shared" si="55"/>
        <v>N/A</v>
      </c>
      <c r="Q123" s="659" t="str">
        <f t="shared" si="55"/>
        <v>N/A</v>
      </c>
      <c r="R123" s="659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660">
        <v>0.5</v>
      </c>
      <c r="E124" s="661" t="s">
        <v>310</v>
      </c>
      <c r="F124" s="4"/>
      <c r="G124" s="18" t="s">
        <v>326</v>
      </c>
      <c r="H124" s="659" t="str">
        <f t="shared" ref="H124:R124" si="56">IF(H116&lt;$D$124,$E$124,H51/H4)</f>
        <v>N/A</v>
      </c>
      <c r="I124" s="659" t="str">
        <f t="shared" si="56"/>
        <v>N/A</v>
      </c>
      <c r="J124" s="659" t="e">
        <f t="shared" si="56"/>
        <v>#DIV/0!</v>
      </c>
      <c r="K124" s="659" t="e">
        <f t="shared" si="56"/>
        <v>#DIV/0!</v>
      </c>
      <c r="L124" s="659" t="str">
        <f t="shared" si="56"/>
        <v>N/A</v>
      </c>
      <c r="M124" s="659" t="str">
        <f t="shared" si="56"/>
        <v>N/A</v>
      </c>
      <c r="N124" s="659" t="str">
        <f t="shared" si="56"/>
        <v>N/A</v>
      </c>
      <c r="O124" s="659" t="str">
        <f t="shared" si="56"/>
        <v>N/A</v>
      </c>
      <c r="P124" s="659" t="str">
        <f t="shared" si="56"/>
        <v>N/A</v>
      </c>
      <c r="Q124" s="659" t="str">
        <f t="shared" si="56"/>
        <v>N/A</v>
      </c>
      <c r="R124" s="659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660">
        <v>0.5</v>
      </c>
      <c r="E125" s="661" t="s">
        <v>310</v>
      </c>
      <c r="F125" s="4"/>
      <c r="G125" s="186" t="s">
        <v>330</v>
      </c>
      <c r="H125" s="659" t="str">
        <f t="shared" ref="H125:R125" si="57">IF(H116&lt;$D$125,$E$125,H51/H27)</f>
        <v>N/A</v>
      </c>
      <c r="I125" s="659" t="str">
        <f t="shared" si="57"/>
        <v>N/A</v>
      </c>
      <c r="J125" s="659" t="e">
        <f t="shared" si="57"/>
        <v>#DIV/0!</v>
      </c>
      <c r="K125" s="659" t="e">
        <f t="shared" si="57"/>
        <v>#DIV/0!</v>
      </c>
      <c r="L125" s="659" t="str">
        <f t="shared" si="57"/>
        <v>N/A</v>
      </c>
      <c r="M125" s="659" t="str">
        <f t="shared" si="57"/>
        <v>N/A</v>
      </c>
      <c r="N125" s="659" t="str">
        <f t="shared" si="57"/>
        <v>N/A</v>
      </c>
      <c r="O125" s="659" t="str">
        <f t="shared" si="57"/>
        <v>N/A</v>
      </c>
      <c r="P125" s="659" t="str">
        <f t="shared" si="57"/>
        <v>N/A</v>
      </c>
      <c r="Q125" s="659" t="str">
        <f t="shared" si="57"/>
        <v>N/A</v>
      </c>
      <c r="R125" s="659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645">
        <f>H119</f>
        <v>2011</v>
      </c>
      <c r="I127" s="645">
        <f t="shared" ref="I127:R127" si="58">I119</f>
        <v>2012</v>
      </c>
      <c r="J127" s="645">
        <f t="shared" si="58"/>
        <v>2013</v>
      </c>
      <c r="K127" s="645">
        <f t="shared" si="58"/>
        <v>2014</v>
      </c>
      <c r="L127" s="645">
        <f t="shared" si="58"/>
        <v>2015</v>
      </c>
      <c r="M127" s="645">
        <f t="shared" si="58"/>
        <v>2016</v>
      </c>
      <c r="N127" s="645">
        <f t="shared" si="58"/>
        <v>2017</v>
      </c>
      <c r="O127" s="645">
        <f t="shared" si="58"/>
        <v>2018</v>
      </c>
      <c r="P127" s="645">
        <f t="shared" si="58"/>
        <v>2019</v>
      </c>
      <c r="Q127" s="645">
        <f t="shared" si="58"/>
        <v>2020</v>
      </c>
      <c r="R127" s="645">
        <f t="shared" si="58"/>
        <v>2021</v>
      </c>
    </row>
    <row r="128" spans="1:19" x14ac:dyDescent="0.2">
      <c r="G128" s="662" t="s">
        <v>331</v>
      </c>
      <c r="H128" s="663">
        <f t="shared" ref="H128:R128" si="59">H33</f>
        <v>4.5999999999999999E-2</v>
      </c>
      <c r="I128" s="663">
        <f t="shared" si="59"/>
        <v>8.1000000000000003E-2</v>
      </c>
      <c r="J128" s="663">
        <f t="shared" si="59"/>
        <v>0</v>
      </c>
      <c r="K128" s="663">
        <f t="shared" si="59"/>
        <v>0</v>
      </c>
      <c r="L128" s="663">
        <f t="shared" si="59"/>
        <v>235.87299999999999</v>
      </c>
      <c r="M128" s="663">
        <f t="shared" si="59"/>
        <v>820.67499999999995</v>
      </c>
      <c r="N128" s="663">
        <f t="shared" si="59"/>
        <v>745.52099999999996</v>
      </c>
      <c r="O128" s="663">
        <f t="shared" si="59"/>
        <v>763</v>
      </c>
      <c r="P128" s="663">
        <f t="shared" si="59"/>
        <v>783</v>
      </c>
      <c r="Q128" s="663">
        <f t="shared" si="59"/>
        <v>796</v>
      </c>
      <c r="R128" s="663">
        <f t="shared" si="59"/>
        <v>814</v>
      </c>
    </row>
    <row r="129" spans="3:19" x14ac:dyDescent="0.2">
      <c r="G129" s="662" t="s">
        <v>332</v>
      </c>
      <c r="H129" s="663">
        <f t="shared" ref="H129:R130" si="60">H35</f>
        <v>0</v>
      </c>
      <c r="I129" s="663">
        <f t="shared" si="60"/>
        <v>0</v>
      </c>
      <c r="J129" s="663">
        <f t="shared" si="60"/>
        <v>0</v>
      </c>
      <c r="K129" s="663">
        <f t="shared" si="60"/>
        <v>0</v>
      </c>
      <c r="L129" s="663">
        <f t="shared" si="60"/>
        <v>44.136000000000003</v>
      </c>
      <c r="M129" s="663">
        <f t="shared" si="60"/>
        <v>111.88</v>
      </c>
      <c r="N129" s="663">
        <f t="shared" si="60"/>
        <v>60</v>
      </c>
      <c r="O129" s="663">
        <f t="shared" si="60"/>
        <v>60</v>
      </c>
      <c r="P129" s="663">
        <f t="shared" si="60"/>
        <v>65</v>
      </c>
      <c r="Q129" s="663">
        <f t="shared" si="60"/>
        <v>65</v>
      </c>
      <c r="R129" s="663">
        <f t="shared" si="60"/>
        <v>65</v>
      </c>
    </row>
    <row r="130" spans="3:19" x14ac:dyDescent="0.2">
      <c r="G130" s="662" t="s">
        <v>333</v>
      </c>
      <c r="H130" s="663">
        <f t="shared" si="60"/>
        <v>0</v>
      </c>
      <c r="I130" s="663">
        <f t="shared" si="60"/>
        <v>0</v>
      </c>
      <c r="J130" s="663">
        <f t="shared" si="60"/>
        <v>0</v>
      </c>
      <c r="K130" s="663">
        <f t="shared" si="60"/>
        <v>0</v>
      </c>
      <c r="L130" s="663">
        <f t="shared" si="60"/>
        <v>191.03399999999999</v>
      </c>
      <c r="M130" s="663">
        <f t="shared" si="60"/>
        <v>708.79499999999996</v>
      </c>
      <c r="N130" s="663">
        <f t="shared" si="60"/>
        <v>685.52099999999996</v>
      </c>
      <c r="O130" s="663">
        <f t="shared" si="60"/>
        <v>703</v>
      </c>
      <c r="P130" s="663">
        <f t="shared" si="60"/>
        <v>718</v>
      </c>
      <c r="Q130" s="663">
        <f t="shared" si="60"/>
        <v>731</v>
      </c>
      <c r="R130" s="663">
        <f t="shared" si="60"/>
        <v>749</v>
      </c>
    </row>
    <row r="131" spans="3:19" x14ac:dyDescent="0.2">
      <c r="G131" s="662" t="s">
        <v>334</v>
      </c>
      <c r="H131" s="663">
        <f t="shared" ref="H131:R131" si="61">H38+H41</f>
        <v>0</v>
      </c>
      <c r="I131" s="663">
        <f t="shared" si="61"/>
        <v>0</v>
      </c>
      <c r="J131" s="663">
        <f t="shared" si="61"/>
        <v>0</v>
      </c>
      <c r="K131" s="663">
        <f t="shared" si="61"/>
        <v>0</v>
      </c>
      <c r="L131" s="663">
        <f t="shared" si="61"/>
        <v>-267.64800000000002</v>
      </c>
      <c r="M131" s="663">
        <f t="shared" si="61"/>
        <v>-917.69999999999993</v>
      </c>
      <c r="N131" s="663">
        <f t="shared" si="61"/>
        <v>-739.97400000000005</v>
      </c>
      <c r="O131" s="663">
        <f t="shared" si="61"/>
        <v>-757.60799999999995</v>
      </c>
      <c r="P131" s="663">
        <f t="shared" si="61"/>
        <v>-780.60799999999995</v>
      </c>
      <c r="Q131" s="663">
        <f t="shared" si="61"/>
        <v>-793.60799999999995</v>
      </c>
      <c r="R131" s="663">
        <f t="shared" si="61"/>
        <v>-812.60799999999995</v>
      </c>
    </row>
    <row r="132" spans="3:19" x14ac:dyDescent="0.2">
      <c r="G132" s="662" t="s">
        <v>335</v>
      </c>
      <c r="H132" s="663">
        <f t="shared" ref="H132:R132" si="62">H41</f>
        <v>0</v>
      </c>
      <c r="I132" s="663">
        <f t="shared" si="62"/>
        <v>0</v>
      </c>
      <c r="J132" s="663">
        <f t="shared" si="62"/>
        <v>0</v>
      </c>
      <c r="K132" s="663">
        <f t="shared" si="62"/>
        <v>0</v>
      </c>
      <c r="L132" s="663">
        <f t="shared" si="62"/>
        <v>-267.64800000000002</v>
      </c>
      <c r="M132" s="663">
        <f t="shared" si="62"/>
        <v>-917.69999999999993</v>
      </c>
      <c r="N132" s="663">
        <f t="shared" si="62"/>
        <v>-739.97400000000005</v>
      </c>
      <c r="O132" s="663">
        <f t="shared" si="62"/>
        <v>-757.60799999999995</v>
      </c>
      <c r="P132" s="663">
        <f t="shared" si="62"/>
        <v>-780.60799999999995</v>
      </c>
      <c r="Q132" s="663">
        <f t="shared" si="62"/>
        <v>-793.60799999999995</v>
      </c>
      <c r="R132" s="663">
        <f t="shared" si="62"/>
        <v>-812.60799999999995</v>
      </c>
    </row>
    <row r="133" spans="3:19" x14ac:dyDescent="0.2">
      <c r="G133" s="662" t="s">
        <v>336</v>
      </c>
      <c r="H133" s="663">
        <f t="shared" ref="H133:R133" si="63">H38</f>
        <v>0</v>
      </c>
      <c r="I133" s="663">
        <f t="shared" si="63"/>
        <v>0</v>
      </c>
      <c r="J133" s="663">
        <f t="shared" si="63"/>
        <v>0</v>
      </c>
      <c r="K133" s="663">
        <f t="shared" si="63"/>
        <v>0</v>
      </c>
      <c r="L133" s="663">
        <f t="shared" si="63"/>
        <v>0</v>
      </c>
      <c r="M133" s="663">
        <f t="shared" si="63"/>
        <v>0</v>
      </c>
      <c r="N133" s="663">
        <f t="shared" si="63"/>
        <v>0</v>
      </c>
      <c r="O133" s="663">
        <f t="shared" si="63"/>
        <v>0</v>
      </c>
      <c r="P133" s="663">
        <f t="shared" si="63"/>
        <v>0</v>
      </c>
      <c r="Q133" s="663">
        <f t="shared" si="63"/>
        <v>0</v>
      </c>
      <c r="R133" s="663">
        <f t="shared" si="63"/>
        <v>0</v>
      </c>
    </row>
    <row r="134" spans="3:19" x14ac:dyDescent="0.2">
      <c r="G134" s="662" t="s">
        <v>337</v>
      </c>
      <c r="H134" s="663">
        <f t="shared" ref="H134:R134" si="64">H46</f>
        <v>4.5999999999999999E-2</v>
      </c>
      <c r="I134" s="663">
        <f t="shared" si="64"/>
        <v>8.1000000000000003E-2</v>
      </c>
      <c r="J134" s="663">
        <f t="shared" si="64"/>
        <v>0</v>
      </c>
      <c r="K134" s="663">
        <f t="shared" si="64"/>
        <v>0</v>
      </c>
      <c r="L134" s="663">
        <f t="shared" si="64"/>
        <v>-31.775000000000034</v>
      </c>
      <c r="M134" s="663">
        <f t="shared" si="64"/>
        <v>-97.024999999999977</v>
      </c>
      <c r="N134" s="663">
        <f t="shared" si="64"/>
        <v>5.5469999999999118</v>
      </c>
      <c r="O134" s="663">
        <f t="shared" si="64"/>
        <v>5.3920000000000528</v>
      </c>
      <c r="P134" s="663">
        <f t="shared" si="64"/>
        <v>2.3920000000000528</v>
      </c>
      <c r="Q134" s="663">
        <f t="shared" si="64"/>
        <v>2.3920000000000528</v>
      </c>
      <c r="R134" s="663">
        <f t="shared" si="64"/>
        <v>1.3920000000000528</v>
      </c>
    </row>
    <row r="135" spans="3:19" x14ac:dyDescent="0.2">
      <c r="G135" s="662" t="s">
        <v>338</v>
      </c>
      <c r="H135" s="663">
        <f t="shared" ref="H135:R135" si="65">H51</f>
        <v>4.8000000000000001E-2</v>
      </c>
      <c r="I135" s="663">
        <f t="shared" si="65"/>
        <v>8.1000000000000003E-2</v>
      </c>
      <c r="J135" s="663">
        <f t="shared" si="65"/>
        <v>0</v>
      </c>
      <c r="K135" s="663">
        <f t="shared" si="65"/>
        <v>0</v>
      </c>
      <c r="L135" s="663">
        <f t="shared" si="65"/>
        <v>-31.737000000000034</v>
      </c>
      <c r="M135" s="663">
        <f t="shared" si="65"/>
        <v>-96.650999999999982</v>
      </c>
      <c r="N135" s="663">
        <f t="shared" si="65"/>
        <v>5.9219999999999118</v>
      </c>
      <c r="O135" s="663">
        <f t="shared" si="65"/>
        <v>5.3920000000000528</v>
      </c>
      <c r="P135" s="663">
        <f t="shared" si="65"/>
        <v>2.3920000000000528</v>
      </c>
      <c r="Q135" s="663">
        <f t="shared" si="65"/>
        <v>2.3920000000000528</v>
      </c>
      <c r="R135" s="663">
        <f t="shared" si="65"/>
        <v>1.3920000000000528</v>
      </c>
    </row>
    <row r="136" spans="3:19" x14ac:dyDescent="0.2">
      <c r="G136" s="662" t="s">
        <v>339</v>
      </c>
      <c r="H136" s="663">
        <f t="shared" ref="H136:R137" si="66">H4</f>
        <v>0</v>
      </c>
      <c r="I136" s="663">
        <f t="shared" si="66"/>
        <v>0</v>
      </c>
      <c r="J136" s="663">
        <f t="shared" si="66"/>
        <v>0</v>
      </c>
      <c r="K136" s="663">
        <f t="shared" si="66"/>
        <v>0</v>
      </c>
      <c r="L136" s="663">
        <f t="shared" si="66"/>
        <v>246.47499999999999</v>
      </c>
      <c r="M136" s="663">
        <f t="shared" si="66"/>
        <v>167.024</v>
      </c>
      <c r="N136" s="663">
        <f t="shared" si="66"/>
        <v>150</v>
      </c>
      <c r="O136" s="663">
        <f t="shared" si="66"/>
        <v>152</v>
      </c>
      <c r="P136" s="663">
        <f t="shared" si="66"/>
        <v>153</v>
      </c>
      <c r="Q136" s="663">
        <f t="shared" si="66"/>
        <v>154</v>
      </c>
      <c r="R136" s="663">
        <f t="shared" si="66"/>
        <v>153</v>
      </c>
    </row>
    <row r="137" spans="3:19" x14ac:dyDescent="0.2">
      <c r="G137" s="662" t="s">
        <v>340</v>
      </c>
      <c r="H137" s="663">
        <f t="shared" si="66"/>
        <v>0</v>
      </c>
      <c r="I137" s="663">
        <f t="shared" si="66"/>
        <v>0</v>
      </c>
      <c r="J137" s="663">
        <f t="shared" si="66"/>
        <v>0</v>
      </c>
      <c r="K137" s="663">
        <f t="shared" si="66"/>
        <v>0</v>
      </c>
      <c r="L137" s="663">
        <f t="shared" si="66"/>
        <v>65.94</v>
      </c>
      <c r="M137" s="663">
        <f t="shared" si="66"/>
        <v>84.242999999999995</v>
      </c>
      <c r="N137" s="663">
        <f t="shared" si="66"/>
        <v>86</v>
      </c>
      <c r="O137" s="663">
        <f t="shared" si="66"/>
        <v>92</v>
      </c>
      <c r="P137" s="663">
        <f t="shared" si="66"/>
        <v>97</v>
      </c>
      <c r="Q137" s="663">
        <f t="shared" si="66"/>
        <v>102</v>
      </c>
      <c r="R137" s="663">
        <f t="shared" si="66"/>
        <v>105</v>
      </c>
    </row>
    <row r="138" spans="3:19" x14ac:dyDescent="0.2">
      <c r="G138" s="662" t="s">
        <v>341</v>
      </c>
      <c r="H138" s="663">
        <f t="shared" ref="H138:R138" si="67">H10</f>
        <v>0</v>
      </c>
      <c r="I138" s="663">
        <f t="shared" si="67"/>
        <v>0</v>
      </c>
      <c r="J138" s="663">
        <f t="shared" si="67"/>
        <v>0</v>
      </c>
      <c r="K138" s="663">
        <f t="shared" si="67"/>
        <v>0</v>
      </c>
      <c r="L138" s="663">
        <f t="shared" si="67"/>
        <v>180.535</v>
      </c>
      <c r="M138" s="663">
        <f t="shared" si="67"/>
        <v>82.781000000000006</v>
      </c>
      <c r="N138" s="663">
        <f t="shared" si="67"/>
        <v>64</v>
      </c>
      <c r="O138" s="663">
        <f t="shared" si="67"/>
        <v>60</v>
      </c>
      <c r="P138" s="663">
        <f t="shared" si="67"/>
        <v>56</v>
      </c>
      <c r="Q138" s="663">
        <f t="shared" si="67"/>
        <v>52</v>
      </c>
      <c r="R138" s="663">
        <f t="shared" si="67"/>
        <v>48</v>
      </c>
    </row>
    <row r="139" spans="3:19" x14ac:dyDescent="0.2">
      <c r="G139" s="662" t="s">
        <v>342</v>
      </c>
      <c r="H139" s="663">
        <f t="shared" ref="H139:R140" si="68">H19</f>
        <v>0</v>
      </c>
      <c r="I139" s="663">
        <f t="shared" si="68"/>
        <v>0</v>
      </c>
      <c r="J139" s="663">
        <f t="shared" si="68"/>
        <v>0</v>
      </c>
      <c r="K139" s="663">
        <f t="shared" si="68"/>
        <v>0</v>
      </c>
      <c r="L139" s="663">
        <f t="shared" si="68"/>
        <v>24.25</v>
      </c>
      <c r="M139" s="663">
        <f t="shared" si="68"/>
        <v>41.448999999999998</v>
      </c>
      <c r="N139" s="663">
        <f t="shared" si="68"/>
        <v>18</v>
      </c>
      <c r="O139" s="663">
        <f t="shared" si="68"/>
        <v>15</v>
      </c>
      <c r="P139" s="663">
        <f t="shared" si="68"/>
        <v>14</v>
      </c>
      <c r="Q139" s="663">
        <f t="shared" si="68"/>
        <v>13</v>
      </c>
      <c r="R139" s="663">
        <f t="shared" si="68"/>
        <v>11</v>
      </c>
    </row>
    <row r="140" spans="3:19" x14ac:dyDescent="0.2">
      <c r="G140" s="662" t="s">
        <v>343</v>
      </c>
      <c r="H140" s="663">
        <f t="shared" si="68"/>
        <v>0</v>
      </c>
      <c r="I140" s="663">
        <f t="shared" si="68"/>
        <v>0</v>
      </c>
      <c r="J140" s="663">
        <f t="shared" si="68"/>
        <v>0</v>
      </c>
      <c r="K140" s="663">
        <f t="shared" si="68"/>
        <v>0</v>
      </c>
      <c r="L140" s="663">
        <f t="shared" si="68"/>
        <v>24.25</v>
      </c>
      <c r="M140" s="663">
        <f t="shared" si="68"/>
        <v>41.448999999999998</v>
      </c>
      <c r="N140" s="663">
        <f t="shared" si="68"/>
        <v>0</v>
      </c>
      <c r="O140" s="663">
        <f t="shared" si="68"/>
        <v>0</v>
      </c>
      <c r="P140" s="663">
        <f t="shared" si="68"/>
        <v>0</v>
      </c>
      <c r="Q140" s="663">
        <f t="shared" si="68"/>
        <v>0</v>
      </c>
      <c r="R140" s="663">
        <f t="shared" si="68"/>
        <v>0</v>
      </c>
    </row>
    <row r="141" spans="3:19" x14ac:dyDescent="0.2">
      <c r="G141" s="662" t="s">
        <v>344</v>
      </c>
      <c r="H141" s="663">
        <f t="shared" ref="H141:R141" si="69">H24</f>
        <v>0</v>
      </c>
      <c r="I141" s="663">
        <f t="shared" si="69"/>
        <v>0</v>
      </c>
      <c r="J141" s="663">
        <f t="shared" si="69"/>
        <v>0</v>
      </c>
      <c r="K141" s="663">
        <f t="shared" si="69"/>
        <v>0</v>
      </c>
      <c r="L141" s="663">
        <f t="shared" si="69"/>
        <v>0</v>
      </c>
      <c r="M141" s="663">
        <f t="shared" si="69"/>
        <v>0</v>
      </c>
      <c r="N141" s="663">
        <f t="shared" si="69"/>
        <v>0</v>
      </c>
      <c r="O141" s="663">
        <f t="shared" si="69"/>
        <v>0</v>
      </c>
      <c r="P141" s="663">
        <f t="shared" si="69"/>
        <v>0</v>
      </c>
      <c r="Q141" s="663">
        <f t="shared" si="69"/>
        <v>0</v>
      </c>
      <c r="R141" s="663">
        <f t="shared" si="69"/>
        <v>0</v>
      </c>
    </row>
    <row r="142" spans="3:19" x14ac:dyDescent="0.2">
      <c r="G142" s="662" t="s">
        <v>345</v>
      </c>
      <c r="H142" s="663">
        <f t="shared" ref="H142:R142" si="70">H27</f>
        <v>0</v>
      </c>
      <c r="I142" s="663">
        <f t="shared" si="70"/>
        <v>0</v>
      </c>
      <c r="J142" s="663">
        <f t="shared" si="70"/>
        <v>0</v>
      </c>
      <c r="K142" s="663">
        <f t="shared" si="70"/>
        <v>0</v>
      </c>
      <c r="L142" s="663">
        <f t="shared" si="70"/>
        <v>222.22400000000002</v>
      </c>
      <c r="M142" s="663">
        <f t="shared" si="70"/>
        <v>125.57500000000002</v>
      </c>
      <c r="N142" s="663">
        <f t="shared" si="70"/>
        <v>132</v>
      </c>
      <c r="O142" s="663">
        <f t="shared" si="70"/>
        <v>137</v>
      </c>
      <c r="P142" s="663">
        <f t="shared" si="70"/>
        <v>139</v>
      </c>
      <c r="Q142" s="663">
        <f t="shared" si="70"/>
        <v>141</v>
      </c>
      <c r="R142" s="663">
        <f t="shared" si="70"/>
        <v>142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637" priority="51" stopIfTrue="1" operator="greaterThan">
      <formula>$E$116</formula>
    </cfRule>
    <cfRule type="cellIs" dxfId="636" priority="52" stopIfTrue="1" operator="lessThanOrEqual">
      <formula>$E$116</formula>
    </cfRule>
  </conditionalFormatting>
  <conditionalFormatting sqref="H118:Q118">
    <cfRule type="cellIs" dxfId="635" priority="49" stopIfTrue="1" operator="lessThanOrEqual">
      <formula>$E$118</formula>
    </cfRule>
    <cfRule type="cellIs" dxfId="634" priority="50" stopIfTrue="1" operator="greaterThan">
      <formula>$E$118</formula>
    </cfRule>
  </conditionalFormatting>
  <conditionalFormatting sqref="H99:Q99">
    <cfRule type="cellIs" dxfId="633" priority="47" operator="greaterThan">
      <formula>$E$99</formula>
    </cfRule>
    <cfRule type="cellIs" dxfId="632" priority="48" operator="lessThanOrEqual">
      <formula>$E$99</formula>
    </cfRule>
  </conditionalFormatting>
  <conditionalFormatting sqref="H102:Q102">
    <cfRule type="cellIs" dxfId="631" priority="45" stopIfTrue="1" operator="greaterThanOrEqual">
      <formula>$E$102</formula>
    </cfRule>
    <cfRule type="cellIs" dxfId="630" priority="46" stopIfTrue="1" operator="lessThan">
      <formula>$E$102</formula>
    </cfRule>
  </conditionalFormatting>
  <conditionalFormatting sqref="H104:Q104">
    <cfRule type="cellIs" dxfId="629" priority="43" stopIfTrue="1" operator="lessThan">
      <formula>$E$104</formula>
    </cfRule>
    <cfRule type="cellIs" dxfId="628" priority="44" stopIfTrue="1" operator="greaterThanOrEqual">
      <formula>$E$104</formula>
    </cfRule>
  </conditionalFormatting>
  <conditionalFormatting sqref="H103:Q103">
    <cfRule type="cellIs" dxfId="627" priority="41" stopIfTrue="1" operator="greaterThan">
      <formula>$E$103</formula>
    </cfRule>
    <cfRule type="cellIs" dxfId="626" priority="42" stopIfTrue="1" operator="lessThanOrEqual">
      <formula>$E$103</formula>
    </cfRule>
  </conditionalFormatting>
  <conditionalFormatting sqref="H100:Q100">
    <cfRule type="cellIs" dxfId="625" priority="30" stopIfTrue="1" operator="between">
      <formula>$D$100</formula>
      <formula>$E$100</formula>
    </cfRule>
    <cfRule type="cellIs" dxfId="624" priority="39" stopIfTrue="1" operator="lessThanOrEqual">
      <formula>$D$100</formula>
    </cfRule>
    <cfRule type="cellIs" dxfId="623" priority="40" stopIfTrue="1" operator="greaterThan">
      <formula>$E$100</formula>
    </cfRule>
  </conditionalFormatting>
  <conditionalFormatting sqref="H117:Q117">
    <cfRule type="cellIs" dxfId="622" priority="37" stopIfTrue="1" operator="greaterThan">
      <formula>$E$117</formula>
    </cfRule>
    <cfRule type="cellIs" dxfId="621" priority="38" stopIfTrue="1" operator="lessThanOrEqual">
      <formula>$E$117</formula>
    </cfRule>
  </conditionalFormatting>
  <conditionalFormatting sqref="H107:Q107">
    <cfRule type="cellIs" dxfId="620" priority="35" stopIfTrue="1" operator="greaterThan">
      <formula>$E$107</formula>
    </cfRule>
    <cfRule type="cellIs" dxfId="619" priority="36" stopIfTrue="1" operator="lessThanOrEqual">
      <formula>$E$107</formula>
    </cfRule>
  </conditionalFormatting>
  <conditionalFormatting sqref="H108:Q108">
    <cfRule type="cellIs" dxfId="618" priority="33" stopIfTrue="1" operator="lessThan">
      <formula>$E$108</formula>
    </cfRule>
    <cfRule type="cellIs" dxfId="617" priority="34" stopIfTrue="1" operator="greaterThanOrEqual">
      <formula>$E$108</formula>
    </cfRule>
  </conditionalFormatting>
  <conditionalFormatting sqref="H93:Q93">
    <cfRule type="cellIs" dxfId="616" priority="53" stopIfTrue="1" operator="lessThan">
      <formula>$D$93</formula>
    </cfRule>
    <cfRule type="cellIs" dxfId="615" priority="54" stopIfTrue="1" operator="between">
      <formula>$D$93</formula>
      <formula>$E$93</formula>
    </cfRule>
    <cfRule type="cellIs" dxfId="614" priority="55" stopIfTrue="1" operator="greaterThan">
      <formula>$E$93</formula>
    </cfRule>
  </conditionalFormatting>
  <conditionalFormatting sqref="H114:Q114">
    <cfRule type="cellIs" dxfId="613" priority="56" stopIfTrue="1" operator="lessThan">
      <formula>$E$114</formula>
    </cfRule>
    <cfRule type="cellIs" dxfId="612" priority="57" stopIfTrue="1" operator="between">
      <formula>$D$114</formula>
      <formula>$E$114</formula>
    </cfRule>
    <cfRule type="cellIs" dxfId="611" priority="58" stopIfTrue="1" operator="greaterThanOrEqual">
      <formula>$D$114</formula>
    </cfRule>
  </conditionalFormatting>
  <conditionalFormatting sqref="H90:Q90">
    <cfRule type="cellIs" dxfId="610" priority="31" stopIfTrue="1" operator="lessThan">
      <formula>$E$90</formula>
    </cfRule>
    <cfRule type="cellIs" dxfId="609" priority="32" stopIfTrue="1" operator="greaterThan">
      <formula>$E$90</formula>
    </cfRule>
  </conditionalFormatting>
  <conditionalFormatting sqref="R116">
    <cfRule type="cellIs" dxfId="608" priority="22" stopIfTrue="1" operator="greaterThan">
      <formula>$E$116</formula>
    </cfRule>
    <cfRule type="cellIs" dxfId="607" priority="23" stopIfTrue="1" operator="lessThanOrEqual">
      <formula>$E$116</formula>
    </cfRule>
  </conditionalFormatting>
  <conditionalFormatting sqref="R118">
    <cfRule type="cellIs" dxfId="606" priority="20" stopIfTrue="1" operator="lessThanOrEqual">
      <formula>$E$118</formula>
    </cfRule>
    <cfRule type="cellIs" dxfId="605" priority="21" stopIfTrue="1" operator="greaterThan">
      <formula>$E$118</formula>
    </cfRule>
  </conditionalFormatting>
  <conditionalFormatting sqref="R99">
    <cfRule type="cellIs" dxfId="604" priority="18" operator="greaterThan">
      <formula>$E$99</formula>
    </cfRule>
    <cfRule type="cellIs" dxfId="603" priority="19" operator="lessThanOrEqual">
      <formula>$E$99</formula>
    </cfRule>
  </conditionalFormatting>
  <conditionalFormatting sqref="R102">
    <cfRule type="cellIs" dxfId="602" priority="16" stopIfTrue="1" operator="greaterThanOrEqual">
      <formula>$E$102</formula>
    </cfRule>
    <cfRule type="cellIs" dxfId="601" priority="17" stopIfTrue="1" operator="lessThan">
      <formula>$E$102</formula>
    </cfRule>
  </conditionalFormatting>
  <conditionalFormatting sqref="R104">
    <cfRule type="cellIs" dxfId="600" priority="14" stopIfTrue="1" operator="lessThan">
      <formula>$E$104</formula>
    </cfRule>
    <cfRule type="cellIs" dxfId="599" priority="15" stopIfTrue="1" operator="greaterThanOrEqual">
      <formula>$E$104</formula>
    </cfRule>
  </conditionalFormatting>
  <conditionalFormatting sqref="R103">
    <cfRule type="cellIs" dxfId="598" priority="12" stopIfTrue="1" operator="greaterThan">
      <formula>$E$103</formula>
    </cfRule>
    <cfRule type="cellIs" dxfId="597" priority="13" stopIfTrue="1" operator="lessThanOrEqual">
      <formula>$E$103</formula>
    </cfRule>
  </conditionalFormatting>
  <conditionalFormatting sqref="R100">
    <cfRule type="cellIs" dxfId="596" priority="1" stopIfTrue="1" operator="between">
      <formula>$D$100</formula>
      <formula>$E$100</formula>
    </cfRule>
    <cfRule type="cellIs" dxfId="595" priority="10" stopIfTrue="1" operator="lessThanOrEqual">
      <formula>$D$100</formula>
    </cfRule>
    <cfRule type="cellIs" dxfId="594" priority="11" stopIfTrue="1" operator="greaterThan">
      <formula>$E$100</formula>
    </cfRule>
  </conditionalFormatting>
  <conditionalFormatting sqref="R117">
    <cfRule type="cellIs" dxfId="593" priority="8" stopIfTrue="1" operator="greaterThan">
      <formula>$E$117</formula>
    </cfRule>
    <cfRule type="cellIs" dxfId="592" priority="9" stopIfTrue="1" operator="lessThanOrEqual">
      <formula>$E$117</formula>
    </cfRule>
  </conditionalFormatting>
  <conditionalFormatting sqref="R107">
    <cfRule type="cellIs" dxfId="591" priority="6" stopIfTrue="1" operator="greaterThan">
      <formula>$E$107</formula>
    </cfRule>
    <cfRule type="cellIs" dxfId="590" priority="7" stopIfTrue="1" operator="lessThanOrEqual">
      <formula>$E$107</formula>
    </cfRule>
  </conditionalFormatting>
  <conditionalFormatting sqref="R108">
    <cfRule type="cellIs" dxfId="589" priority="4" stopIfTrue="1" operator="lessThan">
      <formula>$E$108</formula>
    </cfRule>
    <cfRule type="cellIs" dxfId="588" priority="5" stopIfTrue="1" operator="greaterThanOrEqual">
      <formula>$E$108</formula>
    </cfRule>
  </conditionalFormatting>
  <conditionalFormatting sqref="R93">
    <cfRule type="cellIs" dxfId="587" priority="24" stopIfTrue="1" operator="lessThan">
      <formula>$D$93</formula>
    </cfRule>
    <cfRule type="cellIs" dxfId="586" priority="25" stopIfTrue="1" operator="between">
      <formula>$D$93</formula>
      <formula>$E$93</formula>
    </cfRule>
    <cfRule type="cellIs" dxfId="585" priority="26" stopIfTrue="1" operator="greaterThan">
      <formula>$E$93</formula>
    </cfRule>
  </conditionalFormatting>
  <conditionalFormatting sqref="R114">
    <cfRule type="cellIs" dxfId="584" priority="27" stopIfTrue="1" operator="lessThan">
      <formula>$E$114</formula>
    </cfRule>
    <cfRule type="cellIs" dxfId="583" priority="28" stopIfTrue="1" operator="between">
      <formula>$D$114</formula>
      <formula>$E$114</formula>
    </cfRule>
    <cfRule type="cellIs" dxfId="582" priority="29" stopIfTrue="1" operator="greaterThanOrEqual">
      <formula>$D$114</formula>
    </cfRule>
  </conditionalFormatting>
  <conditionalFormatting sqref="R90">
    <cfRule type="cellIs" dxfId="581" priority="2" stopIfTrue="1" operator="lessThan">
      <formula>$E$90</formula>
    </cfRule>
    <cfRule type="cellIs" dxfId="580" priority="3" stopIfTrue="1" operator="greaterThan">
      <formula>$E$90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topLeftCell="G1" workbookViewId="0">
      <selection activeCell="G2" sqref="G2"/>
    </sheetView>
  </sheetViews>
  <sheetFormatPr defaultRowHeight="11.25" x14ac:dyDescent="0.2"/>
  <cols>
    <col min="1" max="1" width="5.7109375" style="103" customWidth="1"/>
    <col min="2" max="2" width="5" style="89" customWidth="1"/>
    <col min="3" max="3" width="21" style="106" customWidth="1"/>
    <col min="4" max="4" width="7.28515625" style="106" customWidth="1"/>
    <col min="5" max="5" width="5.140625" style="104" customWidth="1"/>
    <col min="6" max="6" width="2.140625" style="103" customWidth="1"/>
    <col min="7" max="7" width="41.42578125" style="142" customWidth="1"/>
    <col min="8" max="8" width="8.85546875" style="91" customWidth="1"/>
    <col min="9" max="18" width="8.7109375" style="91" customWidth="1"/>
    <col min="19" max="256" width="9.140625" style="91"/>
    <col min="257" max="257" width="5.7109375" style="91" customWidth="1"/>
    <col min="258" max="258" width="5" style="91" customWidth="1"/>
    <col min="259" max="259" width="21" style="91" customWidth="1"/>
    <col min="260" max="260" width="7.28515625" style="91" customWidth="1"/>
    <col min="261" max="261" width="5.140625" style="91" customWidth="1"/>
    <col min="262" max="262" width="2.140625" style="91" customWidth="1"/>
    <col min="263" max="263" width="41.42578125" style="91" customWidth="1"/>
    <col min="264" max="264" width="8.85546875" style="91" customWidth="1"/>
    <col min="265" max="274" width="8.7109375" style="91" customWidth="1"/>
    <col min="275" max="512" width="9.140625" style="91"/>
    <col min="513" max="513" width="5.7109375" style="91" customWidth="1"/>
    <col min="514" max="514" width="5" style="91" customWidth="1"/>
    <col min="515" max="515" width="21" style="91" customWidth="1"/>
    <col min="516" max="516" width="7.28515625" style="91" customWidth="1"/>
    <col min="517" max="517" width="5.140625" style="91" customWidth="1"/>
    <col min="518" max="518" width="2.140625" style="91" customWidth="1"/>
    <col min="519" max="519" width="41.42578125" style="91" customWidth="1"/>
    <col min="520" max="520" width="8.85546875" style="91" customWidth="1"/>
    <col min="521" max="530" width="8.7109375" style="91" customWidth="1"/>
    <col min="531" max="768" width="9.140625" style="91"/>
    <col min="769" max="769" width="5.7109375" style="91" customWidth="1"/>
    <col min="770" max="770" width="5" style="91" customWidth="1"/>
    <col min="771" max="771" width="21" style="91" customWidth="1"/>
    <col min="772" max="772" width="7.28515625" style="91" customWidth="1"/>
    <col min="773" max="773" width="5.140625" style="91" customWidth="1"/>
    <col min="774" max="774" width="2.140625" style="91" customWidth="1"/>
    <col min="775" max="775" width="41.42578125" style="91" customWidth="1"/>
    <col min="776" max="776" width="8.85546875" style="91" customWidth="1"/>
    <col min="777" max="786" width="8.7109375" style="91" customWidth="1"/>
    <col min="787" max="1024" width="9.140625" style="91"/>
    <col min="1025" max="1025" width="5.7109375" style="91" customWidth="1"/>
    <col min="1026" max="1026" width="5" style="91" customWidth="1"/>
    <col min="1027" max="1027" width="21" style="91" customWidth="1"/>
    <col min="1028" max="1028" width="7.28515625" style="91" customWidth="1"/>
    <col min="1029" max="1029" width="5.140625" style="91" customWidth="1"/>
    <col min="1030" max="1030" width="2.140625" style="91" customWidth="1"/>
    <col min="1031" max="1031" width="41.42578125" style="91" customWidth="1"/>
    <col min="1032" max="1032" width="8.85546875" style="91" customWidth="1"/>
    <col min="1033" max="1042" width="8.7109375" style="91" customWidth="1"/>
    <col min="1043" max="1280" width="9.140625" style="91"/>
    <col min="1281" max="1281" width="5.7109375" style="91" customWidth="1"/>
    <col min="1282" max="1282" width="5" style="91" customWidth="1"/>
    <col min="1283" max="1283" width="21" style="91" customWidth="1"/>
    <col min="1284" max="1284" width="7.28515625" style="91" customWidth="1"/>
    <col min="1285" max="1285" width="5.140625" style="91" customWidth="1"/>
    <col min="1286" max="1286" width="2.140625" style="91" customWidth="1"/>
    <col min="1287" max="1287" width="41.42578125" style="91" customWidth="1"/>
    <col min="1288" max="1288" width="8.85546875" style="91" customWidth="1"/>
    <col min="1289" max="1298" width="8.7109375" style="91" customWidth="1"/>
    <col min="1299" max="1536" width="9.140625" style="91"/>
    <col min="1537" max="1537" width="5.7109375" style="91" customWidth="1"/>
    <col min="1538" max="1538" width="5" style="91" customWidth="1"/>
    <col min="1539" max="1539" width="21" style="91" customWidth="1"/>
    <col min="1540" max="1540" width="7.28515625" style="91" customWidth="1"/>
    <col min="1541" max="1541" width="5.140625" style="91" customWidth="1"/>
    <col min="1542" max="1542" width="2.140625" style="91" customWidth="1"/>
    <col min="1543" max="1543" width="41.42578125" style="91" customWidth="1"/>
    <col min="1544" max="1544" width="8.85546875" style="91" customWidth="1"/>
    <col min="1545" max="1554" width="8.7109375" style="91" customWidth="1"/>
    <col min="1555" max="1792" width="9.140625" style="91"/>
    <col min="1793" max="1793" width="5.7109375" style="91" customWidth="1"/>
    <col min="1794" max="1794" width="5" style="91" customWidth="1"/>
    <col min="1795" max="1795" width="21" style="91" customWidth="1"/>
    <col min="1796" max="1796" width="7.28515625" style="91" customWidth="1"/>
    <col min="1797" max="1797" width="5.140625" style="91" customWidth="1"/>
    <col min="1798" max="1798" width="2.140625" style="91" customWidth="1"/>
    <col min="1799" max="1799" width="41.42578125" style="91" customWidth="1"/>
    <col min="1800" max="1800" width="8.85546875" style="91" customWidth="1"/>
    <col min="1801" max="1810" width="8.7109375" style="91" customWidth="1"/>
    <col min="1811" max="2048" width="9.140625" style="91"/>
    <col min="2049" max="2049" width="5.7109375" style="91" customWidth="1"/>
    <col min="2050" max="2050" width="5" style="91" customWidth="1"/>
    <col min="2051" max="2051" width="21" style="91" customWidth="1"/>
    <col min="2052" max="2052" width="7.28515625" style="91" customWidth="1"/>
    <col min="2053" max="2053" width="5.140625" style="91" customWidth="1"/>
    <col min="2054" max="2054" width="2.140625" style="91" customWidth="1"/>
    <col min="2055" max="2055" width="41.42578125" style="91" customWidth="1"/>
    <col min="2056" max="2056" width="8.85546875" style="91" customWidth="1"/>
    <col min="2057" max="2066" width="8.7109375" style="91" customWidth="1"/>
    <col min="2067" max="2304" width="9.140625" style="91"/>
    <col min="2305" max="2305" width="5.7109375" style="91" customWidth="1"/>
    <col min="2306" max="2306" width="5" style="91" customWidth="1"/>
    <col min="2307" max="2307" width="21" style="91" customWidth="1"/>
    <col min="2308" max="2308" width="7.28515625" style="91" customWidth="1"/>
    <col min="2309" max="2309" width="5.140625" style="91" customWidth="1"/>
    <col min="2310" max="2310" width="2.140625" style="91" customWidth="1"/>
    <col min="2311" max="2311" width="41.42578125" style="91" customWidth="1"/>
    <col min="2312" max="2312" width="8.85546875" style="91" customWidth="1"/>
    <col min="2313" max="2322" width="8.7109375" style="91" customWidth="1"/>
    <col min="2323" max="2560" width="9.140625" style="91"/>
    <col min="2561" max="2561" width="5.7109375" style="91" customWidth="1"/>
    <col min="2562" max="2562" width="5" style="91" customWidth="1"/>
    <col min="2563" max="2563" width="21" style="91" customWidth="1"/>
    <col min="2564" max="2564" width="7.28515625" style="91" customWidth="1"/>
    <col min="2565" max="2565" width="5.140625" style="91" customWidth="1"/>
    <col min="2566" max="2566" width="2.140625" style="91" customWidth="1"/>
    <col min="2567" max="2567" width="41.42578125" style="91" customWidth="1"/>
    <col min="2568" max="2568" width="8.85546875" style="91" customWidth="1"/>
    <col min="2569" max="2578" width="8.7109375" style="91" customWidth="1"/>
    <col min="2579" max="2816" width="9.140625" style="91"/>
    <col min="2817" max="2817" width="5.7109375" style="91" customWidth="1"/>
    <col min="2818" max="2818" width="5" style="91" customWidth="1"/>
    <col min="2819" max="2819" width="21" style="91" customWidth="1"/>
    <col min="2820" max="2820" width="7.28515625" style="91" customWidth="1"/>
    <col min="2821" max="2821" width="5.140625" style="91" customWidth="1"/>
    <col min="2822" max="2822" width="2.140625" style="91" customWidth="1"/>
    <col min="2823" max="2823" width="41.42578125" style="91" customWidth="1"/>
    <col min="2824" max="2824" width="8.85546875" style="91" customWidth="1"/>
    <col min="2825" max="2834" width="8.7109375" style="91" customWidth="1"/>
    <col min="2835" max="3072" width="9.140625" style="91"/>
    <col min="3073" max="3073" width="5.7109375" style="91" customWidth="1"/>
    <col min="3074" max="3074" width="5" style="91" customWidth="1"/>
    <col min="3075" max="3075" width="21" style="91" customWidth="1"/>
    <col min="3076" max="3076" width="7.28515625" style="91" customWidth="1"/>
    <col min="3077" max="3077" width="5.140625" style="91" customWidth="1"/>
    <col min="3078" max="3078" width="2.140625" style="91" customWidth="1"/>
    <col min="3079" max="3079" width="41.42578125" style="91" customWidth="1"/>
    <col min="3080" max="3080" width="8.85546875" style="91" customWidth="1"/>
    <col min="3081" max="3090" width="8.7109375" style="91" customWidth="1"/>
    <col min="3091" max="3328" width="9.140625" style="91"/>
    <col min="3329" max="3329" width="5.7109375" style="91" customWidth="1"/>
    <col min="3330" max="3330" width="5" style="91" customWidth="1"/>
    <col min="3331" max="3331" width="21" style="91" customWidth="1"/>
    <col min="3332" max="3332" width="7.28515625" style="91" customWidth="1"/>
    <col min="3333" max="3333" width="5.140625" style="91" customWidth="1"/>
    <col min="3334" max="3334" width="2.140625" style="91" customWidth="1"/>
    <col min="3335" max="3335" width="41.42578125" style="91" customWidth="1"/>
    <col min="3336" max="3336" width="8.85546875" style="91" customWidth="1"/>
    <col min="3337" max="3346" width="8.7109375" style="91" customWidth="1"/>
    <col min="3347" max="3584" width="9.140625" style="91"/>
    <col min="3585" max="3585" width="5.7109375" style="91" customWidth="1"/>
    <col min="3586" max="3586" width="5" style="91" customWidth="1"/>
    <col min="3587" max="3587" width="21" style="91" customWidth="1"/>
    <col min="3588" max="3588" width="7.28515625" style="91" customWidth="1"/>
    <col min="3589" max="3589" width="5.140625" style="91" customWidth="1"/>
    <col min="3590" max="3590" width="2.140625" style="91" customWidth="1"/>
    <col min="3591" max="3591" width="41.42578125" style="91" customWidth="1"/>
    <col min="3592" max="3592" width="8.85546875" style="91" customWidth="1"/>
    <col min="3593" max="3602" width="8.7109375" style="91" customWidth="1"/>
    <col min="3603" max="3840" width="9.140625" style="91"/>
    <col min="3841" max="3841" width="5.7109375" style="91" customWidth="1"/>
    <col min="3842" max="3842" width="5" style="91" customWidth="1"/>
    <col min="3843" max="3843" width="21" style="91" customWidth="1"/>
    <col min="3844" max="3844" width="7.28515625" style="91" customWidth="1"/>
    <col min="3845" max="3845" width="5.140625" style="91" customWidth="1"/>
    <col min="3846" max="3846" width="2.140625" style="91" customWidth="1"/>
    <col min="3847" max="3847" width="41.42578125" style="91" customWidth="1"/>
    <col min="3848" max="3848" width="8.85546875" style="91" customWidth="1"/>
    <col min="3849" max="3858" width="8.7109375" style="91" customWidth="1"/>
    <col min="3859" max="4096" width="9.140625" style="91"/>
    <col min="4097" max="4097" width="5.7109375" style="91" customWidth="1"/>
    <col min="4098" max="4098" width="5" style="91" customWidth="1"/>
    <col min="4099" max="4099" width="21" style="91" customWidth="1"/>
    <col min="4100" max="4100" width="7.28515625" style="91" customWidth="1"/>
    <col min="4101" max="4101" width="5.140625" style="91" customWidth="1"/>
    <col min="4102" max="4102" width="2.140625" style="91" customWidth="1"/>
    <col min="4103" max="4103" width="41.42578125" style="91" customWidth="1"/>
    <col min="4104" max="4104" width="8.85546875" style="91" customWidth="1"/>
    <col min="4105" max="4114" width="8.7109375" style="91" customWidth="1"/>
    <col min="4115" max="4352" width="9.140625" style="91"/>
    <col min="4353" max="4353" width="5.7109375" style="91" customWidth="1"/>
    <col min="4354" max="4354" width="5" style="91" customWidth="1"/>
    <col min="4355" max="4355" width="21" style="91" customWidth="1"/>
    <col min="4356" max="4356" width="7.28515625" style="91" customWidth="1"/>
    <col min="4357" max="4357" width="5.140625" style="91" customWidth="1"/>
    <col min="4358" max="4358" width="2.140625" style="91" customWidth="1"/>
    <col min="4359" max="4359" width="41.42578125" style="91" customWidth="1"/>
    <col min="4360" max="4360" width="8.85546875" style="91" customWidth="1"/>
    <col min="4361" max="4370" width="8.7109375" style="91" customWidth="1"/>
    <col min="4371" max="4608" width="9.140625" style="91"/>
    <col min="4609" max="4609" width="5.7109375" style="91" customWidth="1"/>
    <col min="4610" max="4610" width="5" style="91" customWidth="1"/>
    <col min="4611" max="4611" width="21" style="91" customWidth="1"/>
    <col min="4612" max="4612" width="7.28515625" style="91" customWidth="1"/>
    <col min="4613" max="4613" width="5.140625" style="91" customWidth="1"/>
    <col min="4614" max="4614" width="2.140625" style="91" customWidth="1"/>
    <col min="4615" max="4615" width="41.42578125" style="91" customWidth="1"/>
    <col min="4616" max="4616" width="8.85546875" style="91" customWidth="1"/>
    <col min="4617" max="4626" width="8.7109375" style="91" customWidth="1"/>
    <col min="4627" max="4864" width="9.140625" style="91"/>
    <col min="4865" max="4865" width="5.7109375" style="91" customWidth="1"/>
    <col min="4866" max="4866" width="5" style="91" customWidth="1"/>
    <col min="4867" max="4867" width="21" style="91" customWidth="1"/>
    <col min="4868" max="4868" width="7.28515625" style="91" customWidth="1"/>
    <col min="4869" max="4869" width="5.140625" style="91" customWidth="1"/>
    <col min="4870" max="4870" width="2.140625" style="91" customWidth="1"/>
    <col min="4871" max="4871" width="41.42578125" style="91" customWidth="1"/>
    <col min="4872" max="4872" width="8.85546875" style="91" customWidth="1"/>
    <col min="4873" max="4882" width="8.7109375" style="91" customWidth="1"/>
    <col min="4883" max="5120" width="9.140625" style="91"/>
    <col min="5121" max="5121" width="5.7109375" style="91" customWidth="1"/>
    <col min="5122" max="5122" width="5" style="91" customWidth="1"/>
    <col min="5123" max="5123" width="21" style="91" customWidth="1"/>
    <col min="5124" max="5124" width="7.28515625" style="91" customWidth="1"/>
    <col min="5125" max="5125" width="5.140625" style="91" customWidth="1"/>
    <col min="5126" max="5126" width="2.140625" style="91" customWidth="1"/>
    <col min="5127" max="5127" width="41.42578125" style="91" customWidth="1"/>
    <col min="5128" max="5128" width="8.85546875" style="91" customWidth="1"/>
    <col min="5129" max="5138" width="8.7109375" style="91" customWidth="1"/>
    <col min="5139" max="5376" width="9.140625" style="91"/>
    <col min="5377" max="5377" width="5.7109375" style="91" customWidth="1"/>
    <col min="5378" max="5378" width="5" style="91" customWidth="1"/>
    <col min="5379" max="5379" width="21" style="91" customWidth="1"/>
    <col min="5380" max="5380" width="7.28515625" style="91" customWidth="1"/>
    <col min="5381" max="5381" width="5.140625" style="91" customWidth="1"/>
    <col min="5382" max="5382" width="2.140625" style="91" customWidth="1"/>
    <col min="5383" max="5383" width="41.42578125" style="91" customWidth="1"/>
    <col min="5384" max="5384" width="8.85546875" style="91" customWidth="1"/>
    <col min="5385" max="5394" width="8.7109375" style="91" customWidth="1"/>
    <col min="5395" max="5632" width="9.140625" style="91"/>
    <col min="5633" max="5633" width="5.7109375" style="91" customWidth="1"/>
    <col min="5634" max="5634" width="5" style="91" customWidth="1"/>
    <col min="5635" max="5635" width="21" style="91" customWidth="1"/>
    <col min="5636" max="5636" width="7.28515625" style="91" customWidth="1"/>
    <col min="5637" max="5637" width="5.140625" style="91" customWidth="1"/>
    <col min="5638" max="5638" width="2.140625" style="91" customWidth="1"/>
    <col min="5639" max="5639" width="41.42578125" style="91" customWidth="1"/>
    <col min="5640" max="5640" width="8.85546875" style="91" customWidth="1"/>
    <col min="5641" max="5650" width="8.7109375" style="91" customWidth="1"/>
    <col min="5651" max="5888" width="9.140625" style="91"/>
    <col min="5889" max="5889" width="5.7109375" style="91" customWidth="1"/>
    <col min="5890" max="5890" width="5" style="91" customWidth="1"/>
    <col min="5891" max="5891" width="21" style="91" customWidth="1"/>
    <col min="5892" max="5892" width="7.28515625" style="91" customWidth="1"/>
    <col min="5893" max="5893" width="5.140625" style="91" customWidth="1"/>
    <col min="5894" max="5894" width="2.140625" style="91" customWidth="1"/>
    <col min="5895" max="5895" width="41.42578125" style="91" customWidth="1"/>
    <col min="5896" max="5896" width="8.85546875" style="91" customWidth="1"/>
    <col min="5897" max="5906" width="8.7109375" style="91" customWidth="1"/>
    <col min="5907" max="6144" width="9.140625" style="91"/>
    <col min="6145" max="6145" width="5.7109375" style="91" customWidth="1"/>
    <col min="6146" max="6146" width="5" style="91" customWidth="1"/>
    <col min="6147" max="6147" width="21" style="91" customWidth="1"/>
    <col min="6148" max="6148" width="7.28515625" style="91" customWidth="1"/>
    <col min="6149" max="6149" width="5.140625" style="91" customWidth="1"/>
    <col min="6150" max="6150" width="2.140625" style="91" customWidth="1"/>
    <col min="6151" max="6151" width="41.42578125" style="91" customWidth="1"/>
    <col min="6152" max="6152" width="8.85546875" style="91" customWidth="1"/>
    <col min="6153" max="6162" width="8.7109375" style="91" customWidth="1"/>
    <col min="6163" max="6400" width="9.140625" style="91"/>
    <col min="6401" max="6401" width="5.7109375" style="91" customWidth="1"/>
    <col min="6402" max="6402" width="5" style="91" customWidth="1"/>
    <col min="6403" max="6403" width="21" style="91" customWidth="1"/>
    <col min="6404" max="6404" width="7.28515625" style="91" customWidth="1"/>
    <col min="6405" max="6405" width="5.140625" style="91" customWidth="1"/>
    <col min="6406" max="6406" width="2.140625" style="91" customWidth="1"/>
    <col min="6407" max="6407" width="41.42578125" style="91" customWidth="1"/>
    <col min="6408" max="6408" width="8.85546875" style="91" customWidth="1"/>
    <col min="6409" max="6418" width="8.7109375" style="91" customWidth="1"/>
    <col min="6419" max="6656" width="9.140625" style="91"/>
    <col min="6657" max="6657" width="5.7109375" style="91" customWidth="1"/>
    <col min="6658" max="6658" width="5" style="91" customWidth="1"/>
    <col min="6659" max="6659" width="21" style="91" customWidth="1"/>
    <col min="6660" max="6660" width="7.28515625" style="91" customWidth="1"/>
    <col min="6661" max="6661" width="5.140625" style="91" customWidth="1"/>
    <col min="6662" max="6662" width="2.140625" style="91" customWidth="1"/>
    <col min="6663" max="6663" width="41.42578125" style="91" customWidth="1"/>
    <col min="6664" max="6664" width="8.85546875" style="91" customWidth="1"/>
    <col min="6665" max="6674" width="8.7109375" style="91" customWidth="1"/>
    <col min="6675" max="6912" width="9.140625" style="91"/>
    <col min="6913" max="6913" width="5.7109375" style="91" customWidth="1"/>
    <col min="6914" max="6914" width="5" style="91" customWidth="1"/>
    <col min="6915" max="6915" width="21" style="91" customWidth="1"/>
    <col min="6916" max="6916" width="7.28515625" style="91" customWidth="1"/>
    <col min="6917" max="6917" width="5.140625" style="91" customWidth="1"/>
    <col min="6918" max="6918" width="2.140625" style="91" customWidth="1"/>
    <col min="6919" max="6919" width="41.42578125" style="91" customWidth="1"/>
    <col min="6920" max="6920" width="8.85546875" style="91" customWidth="1"/>
    <col min="6921" max="6930" width="8.7109375" style="91" customWidth="1"/>
    <col min="6931" max="7168" width="9.140625" style="91"/>
    <col min="7169" max="7169" width="5.7109375" style="91" customWidth="1"/>
    <col min="7170" max="7170" width="5" style="91" customWidth="1"/>
    <col min="7171" max="7171" width="21" style="91" customWidth="1"/>
    <col min="7172" max="7172" width="7.28515625" style="91" customWidth="1"/>
    <col min="7173" max="7173" width="5.140625" style="91" customWidth="1"/>
    <col min="7174" max="7174" width="2.140625" style="91" customWidth="1"/>
    <col min="7175" max="7175" width="41.42578125" style="91" customWidth="1"/>
    <col min="7176" max="7176" width="8.85546875" style="91" customWidth="1"/>
    <col min="7177" max="7186" width="8.7109375" style="91" customWidth="1"/>
    <col min="7187" max="7424" width="9.140625" style="91"/>
    <col min="7425" max="7425" width="5.7109375" style="91" customWidth="1"/>
    <col min="7426" max="7426" width="5" style="91" customWidth="1"/>
    <col min="7427" max="7427" width="21" style="91" customWidth="1"/>
    <col min="7428" max="7428" width="7.28515625" style="91" customWidth="1"/>
    <col min="7429" max="7429" width="5.140625" style="91" customWidth="1"/>
    <col min="7430" max="7430" width="2.140625" style="91" customWidth="1"/>
    <col min="7431" max="7431" width="41.42578125" style="91" customWidth="1"/>
    <col min="7432" max="7432" width="8.85546875" style="91" customWidth="1"/>
    <col min="7433" max="7442" width="8.7109375" style="91" customWidth="1"/>
    <col min="7443" max="7680" width="9.140625" style="91"/>
    <col min="7681" max="7681" width="5.7109375" style="91" customWidth="1"/>
    <col min="7682" max="7682" width="5" style="91" customWidth="1"/>
    <col min="7683" max="7683" width="21" style="91" customWidth="1"/>
    <col min="7684" max="7684" width="7.28515625" style="91" customWidth="1"/>
    <col min="7685" max="7685" width="5.140625" style="91" customWidth="1"/>
    <col min="7686" max="7686" width="2.140625" style="91" customWidth="1"/>
    <col min="7687" max="7687" width="41.42578125" style="91" customWidth="1"/>
    <col min="7688" max="7688" width="8.85546875" style="91" customWidth="1"/>
    <col min="7689" max="7698" width="8.7109375" style="91" customWidth="1"/>
    <col min="7699" max="7936" width="9.140625" style="91"/>
    <col min="7937" max="7937" width="5.7109375" style="91" customWidth="1"/>
    <col min="7938" max="7938" width="5" style="91" customWidth="1"/>
    <col min="7939" max="7939" width="21" style="91" customWidth="1"/>
    <col min="7940" max="7940" width="7.28515625" style="91" customWidth="1"/>
    <col min="7941" max="7941" width="5.140625" style="91" customWidth="1"/>
    <col min="7942" max="7942" width="2.140625" style="91" customWidth="1"/>
    <col min="7943" max="7943" width="41.42578125" style="91" customWidth="1"/>
    <col min="7944" max="7944" width="8.85546875" style="91" customWidth="1"/>
    <col min="7945" max="7954" width="8.7109375" style="91" customWidth="1"/>
    <col min="7955" max="8192" width="9.140625" style="91"/>
    <col min="8193" max="8193" width="5.7109375" style="91" customWidth="1"/>
    <col min="8194" max="8194" width="5" style="91" customWidth="1"/>
    <col min="8195" max="8195" width="21" style="91" customWidth="1"/>
    <col min="8196" max="8196" width="7.28515625" style="91" customWidth="1"/>
    <col min="8197" max="8197" width="5.140625" style="91" customWidth="1"/>
    <col min="8198" max="8198" width="2.140625" style="91" customWidth="1"/>
    <col min="8199" max="8199" width="41.42578125" style="91" customWidth="1"/>
    <col min="8200" max="8200" width="8.85546875" style="91" customWidth="1"/>
    <col min="8201" max="8210" width="8.7109375" style="91" customWidth="1"/>
    <col min="8211" max="8448" width="9.140625" style="91"/>
    <col min="8449" max="8449" width="5.7109375" style="91" customWidth="1"/>
    <col min="8450" max="8450" width="5" style="91" customWidth="1"/>
    <col min="8451" max="8451" width="21" style="91" customWidth="1"/>
    <col min="8452" max="8452" width="7.28515625" style="91" customWidth="1"/>
    <col min="8453" max="8453" width="5.140625" style="91" customWidth="1"/>
    <col min="8454" max="8454" width="2.140625" style="91" customWidth="1"/>
    <col min="8455" max="8455" width="41.42578125" style="91" customWidth="1"/>
    <col min="8456" max="8456" width="8.85546875" style="91" customWidth="1"/>
    <col min="8457" max="8466" width="8.7109375" style="91" customWidth="1"/>
    <col min="8467" max="8704" width="9.140625" style="91"/>
    <col min="8705" max="8705" width="5.7109375" style="91" customWidth="1"/>
    <col min="8706" max="8706" width="5" style="91" customWidth="1"/>
    <col min="8707" max="8707" width="21" style="91" customWidth="1"/>
    <col min="8708" max="8708" width="7.28515625" style="91" customWidth="1"/>
    <col min="8709" max="8709" width="5.140625" style="91" customWidth="1"/>
    <col min="8710" max="8710" width="2.140625" style="91" customWidth="1"/>
    <col min="8711" max="8711" width="41.42578125" style="91" customWidth="1"/>
    <col min="8712" max="8712" width="8.85546875" style="91" customWidth="1"/>
    <col min="8713" max="8722" width="8.7109375" style="91" customWidth="1"/>
    <col min="8723" max="8960" width="9.140625" style="91"/>
    <col min="8961" max="8961" width="5.7109375" style="91" customWidth="1"/>
    <col min="8962" max="8962" width="5" style="91" customWidth="1"/>
    <col min="8963" max="8963" width="21" style="91" customWidth="1"/>
    <col min="8964" max="8964" width="7.28515625" style="91" customWidth="1"/>
    <col min="8965" max="8965" width="5.140625" style="91" customWidth="1"/>
    <col min="8966" max="8966" width="2.140625" style="91" customWidth="1"/>
    <col min="8967" max="8967" width="41.42578125" style="91" customWidth="1"/>
    <col min="8968" max="8968" width="8.85546875" style="91" customWidth="1"/>
    <col min="8969" max="8978" width="8.7109375" style="91" customWidth="1"/>
    <col min="8979" max="9216" width="9.140625" style="91"/>
    <col min="9217" max="9217" width="5.7109375" style="91" customWidth="1"/>
    <col min="9218" max="9218" width="5" style="91" customWidth="1"/>
    <col min="9219" max="9219" width="21" style="91" customWidth="1"/>
    <col min="9220" max="9220" width="7.28515625" style="91" customWidth="1"/>
    <col min="9221" max="9221" width="5.140625" style="91" customWidth="1"/>
    <col min="9222" max="9222" width="2.140625" style="91" customWidth="1"/>
    <col min="9223" max="9223" width="41.42578125" style="91" customWidth="1"/>
    <col min="9224" max="9224" width="8.85546875" style="91" customWidth="1"/>
    <col min="9225" max="9234" width="8.7109375" style="91" customWidth="1"/>
    <col min="9235" max="9472" width="9.140625" style="91"/>
    <col min="9473" max="9473" width="5.7109375" style="91" customWidth="1"/>
    <col min="9474" max="9474" width="5" style="91" customWidth="1"/>
    <col min="9475" max="9475" width="21" style="91" customWidth="1"/>
    <col min="9476" max="9476" width="7.28515625" style="91" customWidth="1"/>
    <col min="9477" max="9477" width="5.140625" style="91" customWidth="1"/>
    <col min="9478" max="9478" width="2.140625" style="91" customWidth="1"/>
    <col min="9479" max="9479" width="41.42578125" style="91" customWidth="1"/>
    <col min="9480" max="9480" width="8.85546875" style="91" customWidth="1"/>
    <col min="9481" max="9490" width="8.7109375" style="91" customWidth="1"/>
    <col min="9491" max="9728" width="9.140625" style="91"/>
    <col min="9729" max="9729" width="5.7109375" style="91" customWidth="1"/>
    <col min="9730" max="9730" width="5" style="91" customWidth="1"/>
    <col min="9731" max="9731" width="21" style="91" customWidth="1"/>
    <col min="9732" max="9732" width="7.28515625" style="91" customWidth="1"/>
    <col min="9733" max="9733" width="5.140625" style="91" customWidth="1"/>
    <col min="9734" max="9734" width="2.140625" style="91" customWidth="1"/>
    <col min="9735" max="9735" width="41.42578125" style="91" customWidth="1"/>
    <col min="9736" max="9736" width="8.85546875" style="91" customWidth="1"/>
    <col min="9737" max="9746" width="8.7109375" style="91" customWidth="1"/>
    <col min="9747" max="9984" width="9.140625" style="91"/>
    <col min="9985" max="9985" width="5.7109375" style="91" customWidth="1"/>
    <col min="9986" max="9986" width="5" style="91" customWidth="1"/>
    <col min="9987" max="9987" width="21" style="91" customWidth="1"/>
    <col min="9988" max="9988" width="7.28515625" style="91" customWidth="1"/>
    <col min="9989" max="9989" width="5.140625" style="91" customWidth="1"/>
    <col min="9990" max="9990" width="2.140625" style="91" customWidth="1"/>
    <col min="9991" max="9991" width="41.42578125" style="91" customWidth="1"/>
    <col min="9992" max="9992" width="8.85546875" style="91" customWidth="1"/>
    <col min="9993" max="10002" width="8.7109375" style="91" customWidth="1"/>
    <col min="10003" max="10240" width="9.140625" style="91"/>
    <col min="10241" max="10241" width="5.7109375" style="91" customWidth="1"/>
    <col min="10242" max="10242" width="5" style="91" customWidth="1"/>
    <col min="10243" max="10243" width="21" style="91" customWidth="1"/>
    <col min="10244" max="10244" width="7.28515625" style="91" customWidth="1"/>
    <col min="10245" max="10245" width="5.140625" style="91" customWidth="1"/>
    <col min="10246" max="10246" width="2.140625" style="91" customWidth="1"/>
    <col min="10247" max="10247" width="41.42578125" style="91" customWidth="1"/>
    <col min="10248" max="10248" width="8.85546875" style="91" customWidth="1"/>
    <col min="10249" max="10258" width="8.7109375" style="91" customWidth="1"/>
    <col min="10259" max="10496" width="9.140625" style="91"/>
    <col min="10497" max="10497" width="5.7109375" style="91" customWidth="1"/>
    <col min="10498" max="10498" width="5" style="91" customWidth="1"/>
    <col min="10499" max="10499" width="21" style="91" customWidth="1"/>
    <col min="10500" max="10500" width="7.28515625" style="91" customWidth="1"/>
    <col min="10501" max="10501" width="5.140625" style="91" customWidth="1"/>
    <col min="10502" max="10502" width="2.140625" style="91" customWidth="1"/>
    <col min="10503" max="10503" width="41.42578125" style="91" customWidth="1"/>
    <col min="10504" max="10504" width="8.85546875" style="91" customWidth="1"/>
    <col min="10505" max="10514" width="8.7109375" style="91" customWidth="1"/>
    <col min="10515" max="10752" width="9.140625" style="91"/>
    <col min="10753" max="10753" width="5.7109375" style="91" customWidth="1"/>
    <col min="10754" max="10754" width="5" style="91" customWidth="1"/>
    <col min="10755" max="10755" width="21" style="91" customWidth="1"/>
    <col min="10756" max="10756" width="7.28515625" style="91" customWidth="1"/>
    <col min="10757" max="10757" width="5.140625" style="91" customWidth="1"/>
    <col min="10758" max="10758" width="2.140625" style="91" customWidth="1"/>
    <col min="10759" max="10759" width="41.42578125" style="91" customWidth="1"/>
    <col min="10760" max="10760" width="8.85546875" style="91" customWidth="1"/>
    <col min="10761" max="10770" width="8.7109375" style="91" customWidth="1"/>
    <col min="10771" max="11008" width="9.140625" style="91"/>
    <col min="11009" max="11009" width="5.7109375" style="91" customWidth="1"/>
    <col min="11010" max="11010" width="5" style="91" customWidth="1"/>
    <col min="11011" max="11011" width="21" style="91" customWidth="1"/>
    <col min="11012" max="11012" width="7.28515625" style="91" customWidth="1"/>
    <col min="11013" max="11013" width="5.140625" style="91" customWidth="1"/>
    <col min="11014" max="11014" width="2.140625" style="91" customWidth="1"/>
    <col min="11015" max="11015" width="41.42578125" style="91" customWidth="1"/>
    <col min="11016" max="11016" width="8.85546875" style="91" customWidth="1"/>
    <col min="11017" max="11026" width="8.7109375" style="91" customWidth="1"/>
    <col min="11027" max="11264" width="9.140625" style="91"/>
    <col min="11265" max="11265" width="5.7109375" style="91" customWidth="1"/>
    <col min="11266" max="11266" width="5" style="91" customWidth="1"/>
    <col min="11267" max="11267" width="21" style="91" customWidth="1"/>
    <col min="11268" max="11268" width="7.28515625" style="91" customWidth="1"/>
    <col min="11269" max="11269" width="5.140625" style="91" customWidth="1"/>
    <col min="11270" max="11270" width="2.140625" style="91" customWidth="1"/>
    <col min="11271" max="11271" width="41.42578125" style="91" customWidth="1"/>
    <col min="11272" max="11272" width="8.85546875" style="91" customWidth="1"/>
    <col min="11273" max="11282" width="8.7109375" style="91" customWidth="1"/>
    <col min="11283" max="11520" width="9.140625" style="91"/>
    <col min="11521" max="11521" width="5.7109375" style="91" customWidth="1"/>
    <col min="11522" max="11522" width="5" style="91" customWidth="1"/>
    <col min="11523" max="11523" width="21" style="91" customWidth="1"/>
    <col min="11524" max="11524" width="7.28515625" style="91" customWidth="1"/>
    <col min="11525" max="11525" width="5.140625" style="91" customWidth="1"/>
    <col min="11526" max="11526" width="2.140625" style="91" customWidth="1"/>
    <col min="11527" max="11527" width="41.42578125" style="91" customWidth="1"/>
    <col min="11528" max="11528" width="8.85546875" style="91" customWidth="1"/>
    <col min="11529" max="11538" width="8.7109375" style="91" customWidth="1"/>
    <col min="11539" max="11776" width="9.140625" style="91"/>
    <col min="11777" max="11777" width="5.7109375" style="91" customWidth="1"/>
    <col min="11778" max="11778" width="5" style="91" customWidth="1"/>
    <col min="11779" max="11779" width="21" style="91" customWidth="1"/>
    <col min="11780" max="11780" width="7.28515625" style="91" customWidth="1"/>
    <col min="11781" max="11781" width="5.140625" style="91" customWidth="1"/>
    <col min="11782" max="11782" width="2.140625" style="91" customWidth="1"/>
    <col min="11783" max="11783" width="41.42578125" style="91" customWidth="1"/>
    <col min="11784" max="11784" width="8.85546875" style="91" customWidth="1"/>
    <col min="11785" max="11794" width="8.7109375" style="91" customWidth="1"/>
    <col min="11795" max="12032" width="9.140625" style="91"/>
    <col min="12033" max="12033" width="5.7109375" style="91" customWidth="1"/>
    <col min="12034" max="12034" width="5" style="91" customWidth="1"/>
    <col min="12035" max="12035" width="21" style="91" customWidth="1"/>
    <col min="12036" max="12036" width="7.28515625" style="91" customWidth="1"/>
    <col min="12037" max="12037" width="5.140625" style="91" customWidth="1"/>
    <col min="12038" max="12038" width="2.140625" style="91" customWidth="1"/>
    <col min="12039" max="12039" width="41.42578125" style="91" customWidth="1"/>
    <col min="12040" max="12040" width="8.85546875" style="91" customWidth="1"/>
    <col min="12041" max="12050" width="8.7109375" style="91" customWidth="1"/>
    <col min="12051" max="12288" width="9.140625" style="91"/>
    <col min="12289" max="12289" width="5.7109375" style="91" customWidth="1"/>
    <col min="12290" max="12290" width="5" style="91" customWidth="1"/>
    <col min="12291" max="12291" width="21" style="91" customWidth="1"/>
    <col min="12292" max="12292" width="7.28515625" style="91" customWidth="1"/>
    <col min="12293" max="12293" width="5.140625" style="91" customWidth="1"/>
    <col min="12294" max="12294" width="2.140625" style="91" customWidth="1"/>
    <col min="12295" max="12295" width="41.42578125" style="91" customWidth="1"/>
    <col min="12296" max="12296" width="8.85546875" style="91" customWidth="1"/>
    <col min="12297" max="12306" width="8.7109375" style="91" customWidth="1"/>
    <col min="12307" max="12544" width="9.140625" style="91"/>
    <col min="12545" max="12545" width="5.7109375" style="91" customWidth="1"/>
    <col min="12546" max="12546" width="5" style="91" customWidth="1"/>
    <col min="12547" max="12547" width="21" style="91" customWidth="1"/>
    <col min="12548" max="12548" width="7.28515625" style="91" customWidth="1"/>
    <col min="12549" max="12549" width="5.140625" style="91" customWidth="1"/>
    <col min="12550" max="12550" width="2.140625" style="91" customWidth="1"/>
    <col min="12551" max="12551" width="41.42578125" style="91" customWidth="1"/>
    <col min="12552" max="12552" width="8.85546875" style="91" customWidth="1"/>
    <col min="12553" max="12562" width="8.7109375" style="91" customWidth="1"/>
    <col min="12563" max="12800" width="9.140625" style="91"/>
    <col min="12801" max="12801" width="5.7109375" style="91" customWidth="1"/>
    <col min="12802" max="12802" width="5" style="91" customWidth="1"/>
    <col min="12803" max="12803" width="21" style="91" customWidth="1"/>
    <col min="12804" max="12804" width="7.28515625" style="91" customWidth="1"/>
    <col min="12805" max="12805" width="5.140625" style="91" customWidth="1"/>
    <col min="12806" max="12806" width="2.140625" style="91" customWidth="1"/>
    <col min="12807" max="12807" width="41.42578125" style="91" customWidth="1"/>
    <col min="12808" max="12808" width="8.85546875" style="91" customWidth="1"/>
    <col min="12809" max="12818" width="8.7109375" style="91" customWidth="1"/>
    <col min="12819" max="13056" width="9.140625" style="91"/>
    <col min="13057" max="13057" width="5.7109375" style="91" customWidth="1"/>
    <col min="13058" max="13058" width="5" style="91" customWidth="1"/>
    <col min="13059" max="13059" width="21" style="91" customWidth="1"/>
    <col min="13060" max="13060" width="7.28515625" style="91" customWidth="1"/>
    <col min="13061" max="13061" width="5.140625" style="91" customWidth="1"/>
    <col min="13062" max="13062" width="2.140625" style="91" customWidth="1"/>
    <col min="13063" max="13063" width="41.42578125" style="91" customWidth="1"/>
    <col min="13064" max="13064" width="8.85546875" style="91" customWidth="1"/>
    <col min="13065" max="13074" width="8.7109375" style="91" customWidth="1"/>
    <col min="13075" max="13312" width="9.140625" style="91"/>
    <col min="13313" max="13313" width="5.7109375" style="91" customWidth="1"/>
    <col min="13314" max="13314" width="5" style="91" customWidth="1"/>
    <col min="13315" max="13315" width="21" style="91" customWidth="1"/>
    <col min="13316" max="13316" width="7.28515625" style="91" customWidth="1"/>
    <col min="13317" max="13317" width="5.140625" style="91" customWidth="1"/>
    <col min="13318" max="13318" width="2.140625" style="91" customWidth="1"/>
    <col min="13319" max="13319" width="41.42578125" style="91" customWidth="1"/>
    <col min="13320" max="13320" width="8.85546875" style="91" customWidth="1"/>
    <col min="13321" max="13330" width="8.7109375" style="91" customWidth="1"/>
    <col min="13331" max="13568" width="9.140625" style="91"/>
    <col min="13569" max="13569" width="5.7109375" style="91" customWidth="1"/>
    <col min="13570" max="13570" width="5" style="91" customWidth="1"/>
    <col min="13571" max="13571" width="21" style="91" customWidth="1"/>
    <col min="13572" max="13572" width="7.28515625" style="91" customWidth="1"/>
    <col min="13573" max="13573" width="5.140625" style="91" customWidth="1"/>
    <col min="13574" max="13574" width="2.140625" style="91" customWidth="1"/>
    <col min="13575" max="13575" width="41.42578125" style="91" customWidth="1"/>
    <col min="13576" max="13576" width="8.85546875" style="91" customWidth="1"/>
    <col min="13577" max="13586" width="8.7109375" style="91" customWidth="1"/>
    <col min="13587" max="13824" width="9.140625" style="91"/>
    <col min="13825" max="13825" width="5.7109375" style="91" customWidth="1"/>
    <col min="13826" max="13826" width="5" style="91" customWidth="1"/>
    <col min="13827" max="13827" width="21" style="91" customWidth="1"/>
    <col min="13828" max="13828" width="7.28515625" style="91" customWidth="1"/>
    <col min="13829" max="13829" width="5.140625" style="91" customWidth="1"/>
    <col min="13830" max="13830" width="2.140625" style="91" customWidth="1"/>
    <col min="13831" max="13831" width="41.42578125" style="91" customWidth="1"/>
    <col min="13832" max="13832" width="8.85546875" style="91" customWidth="1"/>
    <col min="13833" max="13842" width="8.7109375" style="91" customWidth="1"/>
    <col min="13843" max="14080" width="9.140625" style="91"/>
    <col min="14081" max="14081" width="5.7109375" style="91" customWidth="1"/>
    <col min="14082" max="14082" width="5" style="91" customWidth="1"/>
    <col min="14083" max="14083" width="21" style="91" customWidth="1"/>
    <col min="14084" max="14084" width="7.28515625" style="91" customWidth="1"/>
    <col min="14085" max="14085" width="5.140625" style="91" customWidth="1"/>
    <col min="14086" max="14086" width="2.140625" style="91" customWidth="1"/>
    <col min="14087" max="14087" width="41.42578125" style="91" customWidth="1"/>
    <col min="14088" max="14088" width="8.85546875" style="91" customWidth="1"/>
    <col min="14089" max="14098" width="8.7109375" style="91" customWidth="1"/>
    <col min="14099" max="14336" width="9.140625" style="91"/>
    <col min="14337" max="14337" width="5.7109375" style="91" customWidth="1"/>
    <col min="14338" max="14338" width="5" style="91" customWidth="1"/>
    <col min="14339" max="14339" width="21" style="91" customWidth="1"/>
    <col min="14340" max="14340" width="7.28515625" style="91" customWidth="1"/>
    <col min="14341" max="14341" width="5.140625" style="91" customWidth="1"/>
    <col min="14342" max="14342" width="2.140625" style="91" customWidth="1"/>
    <col min="14343" max="14343" width="41.42578125" style="91" customWidth="1"/>
    <col min="14344" max="14344" width="8.85546875" style="91" customWidth="1"/>
    <col min="14345" max="14354" width="8.7109375" style="91" customWidth="1"/>
    <col min="14355" max="14592" width="9.140625" style="91"/>
    <col min="14593" max="14593" width="5.7109375" style="91" customWidth="1"/>
    <col min="14594" max="14594" width="5" style="91" customWidth="1"/>
    <col min="14595" max="14595" width="21" style="91" customWidth="1"/>
    <col min="14596" max="14596" width="7.28515625" style="91" customWidth="1"/>
    <col min="14597" max="14597" width="5.140625" style="91" customWidth="1"/>
    <col min="14598" max="14598" width="2.140625" style="91" customWidth="1"/>
    <col min="14599" max="14599" width="41.42578125" style="91" customWidth="1"/>
    <col min="14600" max="14600" width="8.85546875" style="91" customWidth="1"/>
    <col min="14601" max="14610" width="8.7109375" style="91" customWidth="1"/>
    <col min="14611" max="14848" width="9.140625" style="91"/>
    <col min="14849" max="14849" width="5.7109375" style="91" customWidth="1"/>
    <col min="14850" max="14850" width="5" style="91" customWidth="1"/>
    <col min="14851" max="14851" width="21" style="91" customWidth="1"/>
    <col min="14852" max="14852" width="7.28515625" style="91" customWidth="1"/>
    <col min="14853" max="14853" width="5.140625" style="91" customWidth="1"/>
    <col min="14854" max="14854" width="2.140625" style="91" customWidth="1"/>
    <col min="14855" max="14855" width="41.42578125" style="91" customWidth="1"/>
    <col min="14856" max="14856" width="8.85546875" style="91" customWidth="1"/>
    <col min="14857" max="14866" width="8.7109375" style="91" customWidth="1"/>
    <col min="14867" max="15104" width="9.140625" style="91"/>
    <col min="15105" max="15105" width="5.7109375" style="91" customWidth="1"/>
    <col min="15106" max="15106" width="5" style="91" customWidth="1"/>
    <col min="15107" max="15107" width="21" style="91" customWidth="1"/>
    <col min="15108" max="15108" width="7.28515625" style="91" customWidth="1"/>
    <col min="15109" max="15109" width="5.140625" style="91" customWidth="1"/>
    <col min="15110" max="15110" width="2.140625" style="91" customWidth="1"/>
    <col min="15111" max="15111" width="41.42578125" style="91" customWidth="1"/>
    <col min="15112" max="15112" width="8.85546875" style="91" customWidth="1"/>
    <col min="15113" max="15122" width="8.7109375" style="91" customWidth="1"/>
    <col min="15123" max="15360" width="9.140625" style="91"/>
    <col min="15361" max="15361" width="5.7109375" style="91" customWidth="1"/>
    <col min="15362" max="15362" width="5" style="91" customWidth="1"/>
    <col min="15363" max="15363" width="21" style="91" customWidth="1"/>
    <col min="15364" max="15364" width="7.28515625" style="91" customWidth="1"/>
    <col min="15365" max="15365" width="5.140625" style="91" customWidth="1"/>
    <col min="15366" max="15366" width="2.140625" style="91" customWidth="1"/>
    <col min="15367" max="15367" width="41.42578125" style="91" customWidth="1"/>
    <col min="15368" max="15368" width="8.85546875" style="91" customWidth="1"/>
    <col min="15369" max="15378" width="8.7109375" style="91" customWidth="1"/>
    <col min="15379" max="15616" width="9.140625" style="91"/>
    <col min="15617" max="15617" width="5.7109375" style="91" customWidth="1"/>
    <col min="15618" max="15618" width="5" style="91" customWidth="1"/>
    <col min="15619" max="15619" width="21" style="91" customWidth="1"/>
    <col min="15620" max="15620" width="7.28515625" style="91" customWidth="1"/>
    <col min="15621" max="15621" width="5.140625" style="91" customWidth="1"/>
    <col min="15622" max="15622" width="2.140625" style="91" customWidth="1"/>
    <col min="15623" max="15623" width="41.42578125" style="91" customWidth="1"/>
    <col min="15624" max="15624" width="8.85546875" style="91" customWidth="1"/>
    <col min="15625" max="15634" width="8.7109375" style="91" customWidth="1"/>
    <col min="15635" max="15872" width="9.140625" style="91"/>
    <col min="15873" max="15873" width="5.7109375" style="91" customWidth="1"/>
    <col min="15874" max="15874" width="5" style="91" customWidth="1"/>
    <col min="15875" max="15875" width="21" style="91" customWidth="1"/>
    <col min="15876" max="15876" width="7.28515625" style="91" customWidth="1"/>
    <col min="15877" max="15877" width="5.140625" style="91" customWidth="1"/>
    <col min="15878" max="15878" width="2.140625" style="91" customWidth="1"/>
    <col min="15879" max="15879" width="41.42578125" style="91" customWidth="1"/>
    <col min="15880" max="15880" width="8.85546875" style="91" customWidth="1"/>
    <col min="15881" max="15890" width="8.7109375" style="91" customWidth="1"/>
    <col min="15891" max="16128" width="9.140625" style="91"/>
    <col min="16129" max="16129" width="5.7109375" style="91" customWidth="1"/>
    <col min="16130" max="16130" width="5" style="91" customWidth="1"/>
    <col min="16131" max="16131" width="21" style="91" customWidth="1"/>
    <col min="16132" max="16132" width="7.28515625" style="91" customWidth="1"/>
    <col min="16133" max="16133" width="5.140625" style="91" customWidth="1"/>
    <col min="16134" max="16134" width="2.140625" style="91" customWidth="1"/>
    <col min="16135" max="16135" width="41.42578125" style="91" customWidth="1"/>
    <col min="16136" max="16136" width="8.85546875" style="91" customWidth="1"/>
    <col min="16137" max="16146" width="8.7109375" style="91" customWidth="1"/>
    <col min="16147" max="16384" width="9.140625" style="91"/>
  </cols>
  <sheetData>
    <row r="1" spans="1:20" x14ac:dyDescent="0.2">
      <c r="A1" s="88"/>
      <c r="C1" s="90"/>
      <c r="D1" s="90"/>
      <c r="E1" s="88"/>
      <c r="F1" s="88"/>
      <c r="G1" s="91"/>
    </row>
    <row r="2" spans="1:20" x14ac:dyDescent="0.2">
      <c r="A2" s="90" t="s">
        <v>0</v>
      </c>
      <c r="B2" s="92" t="s">
        <v>1</v>
      </c>
      <c r="C2" s="90" t="s">
        <v>2</v>
      </c>
      <c r="D2" s="90"/>
      <c r="E2" s="88" t="s">
        <v>3</v>
      </c>
      <c r="F2" s="88"/>
      <c r="G2" s="564" t="s">
        <v>460</v>
      </c>
      <c r="H2" s="565" t="s">
        <v>461</v>
      </c>
      <c r="I2" s="566"/>
      <c r="J2" s="567"/>
      <c r="K2" s="1295" t="s">
        <v>6</v>
      </c>
      <c r="L2" s="1295"/>
      <c r="M2" s="1296" t="s">
        <v>462</v>
      </c>
      <c r="N2" s="1296"/>
      <c r="O2" s="1296"/>
      <c r="P2" s="1296"/>
      <c r="Q2" s="1296"/>
      <c r="R2" s="1297"/>
      <c r="S2" s="568"/>
      <c r="T2" s="568"/>
    </row>
    <row r="3" spans="1:20" x14ac:dyDescent="0.2">
      <c r="A3" s="88"/>
      <c r="B3" s="97"/>
      <c r="C3" s="90"/>
      <c r="D3" s="90"/>
      <c r="E3" s="88"/>
      <c r="F3" s="88"/>
      <c r="G3" s="569" t="s">
        <v>7</v>
      </c>
      <c r="H3" s="570">
        <v>40908</v>
      </c>
      <c r="I3" s="570">
        <v>41274</v>
      </c>
      <c r="J3" s="570">
        <v>41639</v>
      </c>
      <c r="K3" s="570">
        <v>42004</v>
      </c>
      <c r="L3" s="570">
        <v>42369</v>
      </c>
      <c r="M3" s="570">
        <v>42735</v>
      </c>
      <c r="N3" s="570">
        <v>43100</v>
      </c>
      <c r="O3" s="570">
        <v>43465</v>
      </c>
      <c r="P3" s="570">
        <v>43830</v>
      </c>
      <c r="Q3" s="570">
        <v>44196</v>
      </c>
      <c r="R3" s="570">
        <v>44561</v>
      </c>
      <c r="S3" s="568"/>
      <c r="T3" s="568"/>
    </row>
    <row r="4" spans="1:20" x14ac:dyDescent="0.2">
      <c r="A4" s="100"/>
      <c r="B4" s="89" t="s">
        <v>8</v>
      </c>
      <c r="C4" s="90">
        <v>1</v>
      </c>
      <c r="D4" s="90"/>
      <c r="E4" s="92"/>
      <c r="F4" s="100"/>
      <c r="G4" s="571" t="s">
        <v>9</v>
      </c>
      <c r="H4" s="572">
        <f t="shared" ref="H4:R4" si="0">H5+H10</f>
        <v>4450.5</v>
      </c>
      <c r="I4" s="572">
        <f t="shared" si="0"/>
        <v>4428.1379999999999</v>
      </c>
      <c r="J4" s="572">
        <f t="shared" si="0"/>
        <v>3991.8219999999997</v>
      </c>
      <c r="K4" s="572">
        <f t="shared" si="0"/>
        <v>3826.0880000000002</v>
      </c>
      <c r="L4" s="572">
        <f t="shared" si="0"/>
        <v>5359.4880000000003</v>
      </c>
      <c r="M4" s="572">
        <f t="shared" si="0"/>
        <v>6270.6333399999994</v>
      </c>
      <c r="N4" s="572">
        <f t="shared" si="0"/>
        <v>6270.4190200000003</v>
      </c>
      <c r="O4" s="572">
        <f t="shared" si="0"/>
        <v>6373.12961</v>
      </c>
      <c r="P4" s="572">
        <f t="shared" si="0"/>
        <v>6474.8402000000006</v>
      </c>
      <c r="Q4" s="572">
        <f t="shared" si="0"/>
        <v>6474.5507900000002</v>
      </c>
      <c r="R4" s="572">
        <f t="shared" si="0"/>
        <v>6473.2613799999999</v>
      </c>
      <c r="S4" s="568"/>
      <c r="T4" s="568"/>
    </row>
    <row r="5" spans="1:20" x14ac:dyDescent="0.2">
      <c r="B5" s="89" t="s">
        <v>10</v>
      </c>
      <c r="C5" s="90">
        <v>10</v>
      </c>
      <c r="D5" s="90"/>
      <c r="G5" s="105" t="s">
        <v>11</v>
      </c>
      <c r="H5" s="572">
        <f t="shared" ref="H5:R5" si="1">SUM(H6:H9)</f>
        <v>858.221</v>
      </c>
      <c r="I5" s="572">
        <f t="shared" si="1"/>
        <v>1027.5989999999999</v>
      </c>
      <c r="J5" s="572">
        <f t="shared" si="1"/>
        <v>914.649</v>
      </c>
      <c r="K5" s="572">
        <f t="shared" si="1"/>
        <v>798.71699999999998</v>
      </c>
      <c r="L5" s="572">
        <f t="shared" si="1"/>
        <v>2149.0320000000002</v>
      </c>
      <c r="M5" s="572">
        <f t="shared" si="1"/>
        <v>1538.18193</v>
      </c>
      <c r="N5" s="572">
        <f t="shared" si="1"/>
        <v>1307.1422</v>
      </c>
      <c r="O5" s="572">
        <f t="shared" si="1"/>
        <v>1342.1422</v>
      </c>
      <c r="P5" s="572">
        <f t="shared" si="1"/>
        <v>1478.1422</v>
      </c>
      <c r="Q5" s="572">
        <f t="shared" si="1"/>
        <v>1323.1422</v>
      </c>
      <c r="R5" s="572">
        <f t="shared" si="1"/>
        <v>1316.1422</v>
      </c>
      <c r="S5" s="568"/>
      <c r="T5" s="568"/>
    </row>
    <row r="6" spans="1:20" x14ac:dyDescent="0.2">
      <c r="B6" s="89" t="s">
        <v>12</v>
      </c>
      <c r="C6" s="106" t="s">
        <v>13</v>
      </c>
      <c r="E6" s="597" t="s">
        <v>14</v>
      </c>
      <c r="G6" s="105" t="s">
        <v>15</v>
      </c>
      <c r="H6" s="598">
        <v>492.00099999999998</v>
      </c>
      <c r="I6" s="598">
        <v>640.46799999999996</v>
      </c>
      <c r="J6" s="598">
        <v>589.98900000000003</v>
      </c>
      <c r="K6" s="598">
        <v>722.06700000000001</v>
      </c>
      <c r="L6" s="598">
        <v>2025.6690000000001</v>
      </c>
      <c r="M6" s="598">
        <v>1425.2511400000001</v>
      </c>
      <c r="N6" s="598">
        <v>1198</v>
      </c>
      <c r="O6" s="598">
        <v>1233</v>
      </c>
      <c r="P6" s="598">
        <f>1471-102</f>
        <v>1369</v>
      </c>
      <c r="Q6" s="598">
        <f>1464-250</f>
        <v>1214</v>
      </c>
      <c r="R6" s="598">
        <f>1457-250</f>
        <v>1207</v>
      </c>
      <c r="S6" s="568"/>
      <c r="T6" s="568"/>
    </row>
    <row r="7" spans="1:20" x14ac:dyDescent="0.2">
      <c r="B7" s="89" t="s">
        <v>16</v>
      </c>
      <c r="C7" s="106" t="s">
        <v>17</v>
      </c>
      <c r="E7" s="597" t="s">
        <v>14</v>
      </c>
      <c r="G7" s="105" t="s">
        <v>18</v>
      </c>
      <c r="H7" s="598">
        <v>355.40499999999997</v>
      </c>
      <c r="I7" s="598">
        <v>375.774</v>
      </c>
      <c r="J7" s="598">
        <v>313.108</v>
      </c>
      <c r="K7" s="598">
        <v>64.727999999999994</v>
      </c>
      <c r="L7" s="598">
        <v>112.212</v>
      </c>
      <c r="M7" s="598">
        <v>94.788589999999999</v>
      </c>
      <c r="N7" s="598">
        <v>91</v>
      </c>
      <c r="O7" s="598">
        <v>91</v>
      </c>
      <c r="P7" s="598">
        <v>91</v>
      </c>
      <c r="Q7" s="598">
        <v>91</v>
      </c>
      <c r="R7" s="598">
        <v>91</v>
      </c>
      <c r="S7" s="568"/>
      <c r="T7" s="568"/>
    </row>
    <row r="8" spans="1:20" x14ac:dyDescent="0.2">
      <c r="B8" s="89" t="s">
        <v>19</v>
      </c>
      <c r="C8" s="106" t="s">
        <v>20</v>
      </c>
      <c r="E8" s="597" t="s">
        <v>14</v>
      </c>
      <c r="G8" s="105" t="s">
        <v>21</v>
      </c>
      <c r="H8" s="598">
        <v>0</v>
      </c>
      <c r="I8" s="598">
        <v>0</v>
      </c>
      <c r="J8" s="598">
        <v>0</v>
      </c>
      <c r="K8" s="598">
        <v>0</v>
      </c>
      <c r="L8" s="598">
        <v>0</v>
      </c>
      <c r="M8" s="598">
        <v>0</v>
      </c>
      <c r="N8" s="598">
        <v>0</v>
      </c>
      <c r="O8" s="598">
        <v>0</v>
      </c>
      <c r="P8" s="598">
        <v>0</v>
      </c>
      <c r="Q8" s="598">
        <v>0</v>
      </c>
      <c r="R8" s="598">
        <v>0</v>
      </c>
      <c r="S8" s="568"/>
      <c r="T8" s="568"/>
    </row>
    <row r="9" spans="1:20" x14ac:dyDescent="0.2">
      <c r="B9" s="89" t="s">
        <v>22</v>
      </c>
      <c r="C9" s="106">
        <v>108</v>
      </c>
      <c r="E9" s="109"/>
      <c r="G9" s="105" t="s">
        <v>23</v>
      </c>
      <c r="H9" s="598">
        <v>10.815</v>
      </c>
      <c r="I9" s="598">
        <v>11.356999999999999</v>
      </c>
      <c r="J9" s="598">
        <v>11.552</v>
      </c>
      <c r="K9" s="598">
        <v>11.922000000000001</v>
      </c>
      <c r="L9" s="598">
        <v>11.151</v>
      </c>
      <c r="M9" s="598">
        <v>18.142199999999999</v>
      </c>
      <c r="N9" s="598">
        <v>18.142199999999999</v>
      </c>
      <c r="O9" s="598">
        <v>18.142199999999999</v>
      </c>
      <c r="P9" s="598">
        <v>18.142199999999999</v>
      </c>
      <c r="Q9" s="598">
        <v>18.142199999999999</v>
      </c>
      <c r="R9" s="598">
        <v>18.142199999999999</v>
      </c>
      <c r="S9" s="568"/>
      <c r="T9" s="568"/>
    </row>
    <row r="10" spans="1:20" x14ac:dyDescent="0.2">
      <c r="A10" s="110"/>
      <c r="B10" s="89" t="s">
        <v>24</v>
      </c>
      <c r="C10" s="111">
        <v>15</v>
      </c>
      <c r="D10" s="111"/>
      <c r="E10" s="109"/>
      <c r="F10" s="110"/>
      <c r="G10" s="105" t="s">
        <v>25</v>
      </c>
      <c r="H10" s="572">
        <f t="shared" ref="H10:R10" si="2">SUM(H11:H16)</f>
        <v>3592.279</v>
      </c>
      <c r="I10" s="572">
        <f t="shared" si="2"/>
        <v>3400.5389999999998</v>
      </c>
      <c r="J10" s="572">
        <f t="shared" si="2"/>
        <v>3077.1729999999998</v>
      </c>
      <c r="K10" s="572">
        <f t="shared" si="2"/>
        <v>3027.3710000000001</v>
      </c>
      <c r="L10" s="572">
        <f t="shared" si="2"/>
        <v>3210.4560000000001</v>
      </c>
      <c r="M10" s="572">
        <f t="shared" si="2"/>
        <v>4732.4514099999997</v>
      </c>
      <c r="N10" s="572">
        <f t="shared" si="2"/>
        <v>4963.27682</v>
      </c>
      <c r="O10" s="572">
        <f t="shared" si="2"/>
        <v>5030.9874099999997</v>
      </c>
      <c r="P10" s="572">
        <f t="shared" si="2"/>
        <v>4996.6980000000003</v>
      </c>
      <c r="Q10" s="572">
        <f t="shared" si="2"/>
        <v>5151.40859</v>
      </c>
      <c r="R10" s="572">
        <f t="shared" si="2"/>
        <v>5157.1191799999997</v>
      </c>
      <c r="S10" s="568"/>
      <c r="T10" s="568"/>
    </row>
    <row r="11" spans="1:20" x14ac:dyDescent="0.2">
      <c r="A11" s="110"/>
      <c r="B11" s="89" t="s">
        <v>26</v>
      </c>
      <c r="C11" s="111">
        <v>150</v>
      </c>
      <c r="D11" s="111"/>
      <c r="E11" s="597" t="s">
        <v>14</v>
      </c>
      <c r="F11" s="110"/>
      <c r="G11" s="105" t="s">
        <v>27</v>
      </c>
      <c r="H11" s="598">
        <v>0</v>
      </c>
      <c r="I11" s="598">
        <v>0</v>
      </c>
      <c r="J11" s="598">
        <v>0</v>
      </c>
      <c r="K11" s="598">
        <v>0</v>
      </c>
      <c r="L11" s="598">
        <v>0</v>
      </c>
      <c r="M11" s="598">
        <v>0</v>
      </c>
      <c r="N11" s="598">
        <v>0</v>
      </c>
      <c r="O11" s="598">
        <v>0</v>
      </c>
      <c r="P11" s="598">
        <v>0</v>
      </c>
      <c r="Q11" s="598">
        <v>0</v>
      </c>
      <c r="R11" s="598">
        <v>0</v>
      </c>
      <c r="S11" s="568"/>
      <c r="T11" s="568"/>
    </row>
    <row r="12" spans="1:20" x14ac:dyDescent="0.2">
      <c r="A12" s="110"/>
      <c r="B12" s="89" t="s">
        <v>28</v>
      </c>
      <c r="C12" s="111">
        <v>151</v>
      </c>
      <c r="D12" s="111"/>
      <c r="E12" s="597" t="s">
        <v>14</v>
      </c>
      <c r="F12" s="110"/>
      <c r="G12" s="105" t="s">
        <v>29</v>
      </c>
      <c r="H12" s="598">
        <v>0</v>
      </c>
      <c r="I12" s="598">
        <v>0</v>
      </c>
      <c r="J12" s="598">
        <v>0</v>
      </c>
      <c r="K12" s="598">
        <v>0</v>
      </c>
      <c r="L12" s="598">
        <v>0</v>
      </c>
      <c r="M12" s="598">
        <v>0</v>
      </c>
      <c r="N12" s="598">
        <v>0</v>
      </c>
      <c r="O12" s="598">
        <v>0</v>
      </c>
      <c r="P12" s="598">
        <v>0</v>
      </c>
      <c r="Q12" s="598">
        <v>0</v>
      </c>
      <c r="R12" s="598">
        <v>0</v>
      </c>
      <c r="S12" s="568"/>
      <c r="T12" s="568"/>
    </row>
    <row r="13" spans="1:20" x14ac:dyDescent="0.2">
      <c r="B13" s="89" t="s">
        <v>30</v>
      </c>
      <c r="C13" s="106" t="s">
        <v>31</v>
      </c>
      <c r="E13" s="597" t="s">
        <v>14</v>
      </c>
      <c r="G13" s="105" t="s">
        <v>32</v>
      </c>
      <c r="H13" s="598">
        <v>630.26099999999997</v>
      </c>
      <c r="I13" s="598">
        <v>260.20699999999999</v>
      </c>
      <c r="J13" s="598">
        <v>0</v>
      </c>
      <c r="K13" s="598">
        <v>0</v>
      </c>
      <c r="L13" s="598">
        <v>0</v>
      </c>
      <c r="M13" s="598">
        <v>0</v>
      </c>
      <c r="N13" s="598">
        <v>0</v>
      </c>
      <c r="O13" s="598">
        <v>0</v>
      </c>
      <c r="P13" s="598">
        <v>0</v>
      </c>
      <c r="Q13" s="598">
        <v>0</v>
      </c>
      <c r="R13" s="598">
        <v>0</v>
      </c>
      <c r="S13" s="568"/>
      <c r="T13" s="568"/>
    </row>
    <row r="14" spans="1:20" x14ac:dyDescent="0.2">
      <c r="B14" s="89" t="s">
        <v>33</v>
      </c>
      <c r="C14" s="106">
        <v>154</v>
      </c>
      <c r="E14" s="597" t="s">
        <v>14</v>
      </c>
      <c r="G14" s="105" t="s">
        <v>34</v>
      </c>
      <c r="H14" s="598">
        <v>0</v>
      </c>
      <c r="I14" s="598">
        <v>0</v>
      </c>
      <c r="J14" s="598">
        <v>0</v>
      </c>
      <c r="K14" s="598">
        <v>0</v>
      </c>
      <c r="L14" s="598">
        <v>0</v>
      </c>
      <c r="M14" s="598">
        <v>0</v>
      </c>
      <c r="N14" s="598">
        <v>0</v>
      </c>
      <c r="O14" s="598">
        <v>0</v>
      </c>
      <c r="P14" s="598">
        <v>0</v>
      </c>
      <c r="Q14" s="598">
        <v>0</v>
      </c>
      <c r="R14" s="598">
        <v>0</v>
      </c>
      <c r="S14" s="568"/>
      <c r="T14" s="568"/>
    </row>
    <row r="15" spans="1:20" x14ac:dyDescent="0.2">
      <c r="B15" s="89" t="s">
        <v>35</v>
      </c>
      <c r="C15" s="106" t="s">
        <v>36</v>
      </c>
      <c r="E15" s="597" t="s">
        <v>14</v>
      </c>
      <c r="G15" s="105" t="s">
        <v>37</v>
      </c>
      <c r="H15" s="598">
        <v>2962.018</v>
      </c>
      <c r="I15" s="598">
        <v>3140.3319999999999</v>
      </c>
      <c r="J15" s="598">
        <v>3077.1729999999998</v>
      </c>
      <c r="K15" s="598">
        <v>3027.3710000000001</v>
      </c>
      <c r="L15" s="598">
        <v>3210.4560000000001</v>
      </c>
      <c r="M15" s="598">
        <v>4732.4514099999997</v>
      </c>
      <c r="N15" s="598">
        <v>4963.27682</v>
      </c>
      <c r="O15" s="598">
        <v>5030.9874099999997</v>
      </c>
      <c r="P15" s="598">
        <f>4894.698+102</f>
        <v>4996.6980000000003</v>
      </c>
      <c r="Q15" s="598">
        <f>4901.40859+250</f>
        <v>5151.40859</v>
      </c>
      <c r="R15" s="598">
        <f>4907.11918+250</f>
        <v>5157.1191799999997</v>
      </c>
      <c r="S15" s="568"/>
      <c r="T15" s="568"/>
    </row>
    <row r="16" spans="1:20" x14ac:dyDescent="0.2">
      <c r="B16" s="89" t="s">
        <v>38</v>
      </c>
      <c r="C16" s="106">
        <v>157</v>
      </c>
      <c r="E16" s="597" t="s">
        <v>14</v>
      </c>
      <c r="G16" s="105" t="s">
        <v>39</v>
      </c>
      <c r="H16" s="599">
        <v>0</v>
      </c>
      <c r="I16" s="599">
        <v>0</v>
      </c>
      <c r="J16" s="599">
        <v>0</v>
      </c>
      <c r="K16" s="599">
        <v>0</v>
      </c>
      <c r="L16" s="599">
        <v>0</v>
      </c>
      <c r="M16" s="599">
        <v>0</v>
      </c>
      <c r="N16" s="599">
        <v>0</v>
      </c>
      <c r="O16" s="599">
        <v>0</v>
      </c>
      <c r="P16" s="599">
        <v>0</v>
      </c>
      <c r="Q16" s="599">
        <v>0</v>
      </c>
      <c r="R16" s="599">
        <v>0</v>
      </c>
      <c r="S16" s="568"/>
      <c r="T16" s="568"/>
    </row>
    <row r="17" spans="1:20" s="116" customFormat="1" x14ac:dyDescent="0.2">
      <c r="A17" s="112"/>
      <c r="B17" s="89" t="s">
        <v>40</v>
      </c>
      <c r="C17" s="112" t="s">
        <v>41</v>
      </c>
      <c r="D17" s="112"/>
      <c r="E17" s="597" t="s">
        <v>14</v>
      </c>
      <c r="F17" s="113"/>
      <c r="G17" s="114" t="s">
        <v>42</v>
      </c>
      <c r="H17" s="599">
        <v>0</v>
      </c>
      <c r="I17" s="599">
        <v>0</v>
      </c>
      <c r="J17" s="599">
        <v>0</v>
      </c>
      <c r="K17" s="599">
        <v>0</v>
      </c>
      <c r="L17" s="599">
        <v>0</v>
      </c>
      <c r="M17" s="599">
        <v>0</v>
      </c>
      <c r="N17" s="599">
        <v>0</v>
      </c>
      <c r="O17" s="599">
        <v>0</v>
      </c>
      <c r="P17" s="599">
        <v>0</v>
      </c>
      <c r="Q17" s="599">
        <v>0</v>
      </c>
      <c r="R17" s="599">
        <v>0</v>
      </c>
      <c r="S17" s="568"/>
      <c r="T17" s="573"/>
    </row>
    <row r="18" spans="1:20" x14ac:dyDescent="0.2">
      <c r="B18" s="89" t="s">
        <v>43</v>
      </c>
      <c r="C18" s="106">
        <v>2</v>
      </c>
      <c r="E18" s="109"/>
      <c r="G18" s="105" t="s">
        <v>44</v>
      </c>
      <c r="H18" s="572">
        <f t="shared" ref="H18:R18" si="3">H19+H27</f>
        <v>4450.4989999999998</v>
      </c>
      <c r="I18" s="572">
        <f t="shared" si="3"/>
        <v>4428.1390000000001</v>
      </c>
      <c r="J18" s="572">
        <f t="shared" si="3"/>
        <v>3991.8209999999999</v>
      </c>
      <c r="K18" s="572">
        <f t="shared" si="3"/>
        <v>3826.087</v>
      </c>
      <c r="L18" s="572">
        <f t="shared" si="3"/>
        <v>5359.4890000000005</v>
      </c>
      <c r="M18" s="572">
        <f t="shared" si="3"/>
        <v>6270.6333399999994</v>
      </c>
      <c r="N18" s="572">
        <f t="shared" si="3"/>
        <v>6270.6332400000001</v>
      </c>
      <c r="O18" s="572">
        <f t="shared" si="3"/>
        <v>6372.6332400000001</v>
      </c>
      <c r="P18" s="572">
        <f t="shared" si="3"/>
        <v>6474.6332400000001</v>
      </c>
      <c r="Q18" s="572">
        <f t="shared" si="3"/>
        <v>6474.6332400000001</v>
      </c>
      <c r="R18" s="572">
        <f t="shared" si="3"/>
        <v>6473.6332400000001</v>
      </c>
      <c r="S18" s="568"/>
      <c r="T18" s="568"/>
    </row>
    <row r="19" spans="1:20" x14ac:dyDescent="0.2">
      <c r="B19" s="89" t="s">
        <v>45</v>
      </c>
      <c r="C19" s="106" t="s">
        <v>46</v>
      </c>
      <c r="E19" s="109"/>
      <c r="G19" s="105" t="s">
        <v>47</v>
      </c>
      <c r="H19" s="572">
        <f t="shared" ref="H19:R19" si="4">SUM(H21:H26)</f>
        <v>1127.4949999999999</v>
      </c>
      <c r="I19" s="572">
        <f t="shared" si="4"/>
        <v>867.88499999999999</v>
      </c>
      <c r="J19" s="572">
        <f t="shared" si="4"/>
        <v>551.5</v>
      </c>
      <c r="K19" s="572">
        <f t="shared" si="4"/>
        <v>334.11200000000002</v>
      </c>
      <c r="L19" s="572">
        <f t="shared" si="4"/>
        <v>1296.367</v>
      </c>
      <c r="M19" s="572">
        <f t="shared" si="4"/>
        <v>338.14657999999997</v>
      </c>
      <c r="N19" s="572">
        <f t="shared" si="4"/>
        <v>338.14657999999997</v>
      </c>
      <c r="O19" s="572">
        <f t="shared" si="4"/>
        <v>338.14657999999997</v>
      </c>
      <c r="P19" s="572">
        <f t="shared" si="4"/>
        <v>338.14657999999997</v>
      </c>
      <c r="Q19" s="572">
        <f t="shared" si="4"/>
        <v>338.14657999999997</v>
      </c>
      <c r="R19" s="572">
        <f t="shared" si="4"/>
        <v>338.14657999999997</v>
      </c>
      <c r="S19" s="568"/>
      <c r="T19" s="568"/>
    </row>
    <row r="20" spans="1:20" s="120" customFormat="1" x14ac:dyDescent="0.2">
      <c r="A20" s="117"/>
      <c r="B20" s="89" t="s">
        <v>48</v>
      </c>
      <c r="C20" s="112" t="s">
        <v>49</v>
      </c>
      <c r="D20" s="112"/>
      <c r="E20" s="597" t="s">
        <v>14</v>
      </c>
      <c r="F20" s="117"/>
      <c r="G20" s="114" t="s">
        <v>50</v>
      </c>
      <c r="H20" s="598">
        <v>556.45699999999999</v>
      </c>
      <c r="I20" s="598">
        <v>607.67700000000002</v>
      </c>
      <c r="J20" s="598">
        <v>551.5</v>
      </c>
      <c r="K20" s="598">
        <v>334.11200000000002</v>
      </c>
      <c r="L20" s="598">
        <v>1296.367</v>
      </c>
      <c r="M20" s="598">
        <v>338.14657999999997</v>
      </c>
      <c r="N20" s="598">
        <v>338.14657999999997</v>
      </c>
      <c r="O20" s="598">
        <v>338.14657999999997</v>
      </c>
      <c r="P20" s="598">
        <v>338.14657999999997</v>
      </c>
      <c r="Q20" s="598">
        <v>338.14657999999997</v>
      </c>
      <c r="R20" s="598">
        <v>338.14657999999997</v>
      </c>
      <c r="S20" s="574"/>
      <c r="T20" s="574"/>
    </row>
    <row r="21" spans="1:20" x14ac:dyDescent="0.2">
      <c r="B21" s="89" t="s">
        <v>51</v>
      </c>
      <c r="C21" s="121" t="s">
        <v>52</v>
      </c>
      <c r="D21" s="121"/>
      <c r="E21" s="597" t="s">
        <v>14</v>
      </c>
      <c r="G21" s="105" t="s">
        <v>53</v>
      </c>
      <c r="H21" s="598">
        <v>249.94900000000001</v>
      </c>
      <c r="I21" s="598">
        <v>291.08699999999999</v>
      </c>
      <c r="J21" s="598">
        <v>291.33499999999998</v>
      </c>
      <c r="K21" s="598">
        <v>334.11200000000002</v>
      </c>
      <c r="L21" s="598">
        <v>1296.367</v>
      </c>
      <c r="M21" s="598">
        <v>338.14657999999997</v>
      </c>
      <c r="N21" s="598">
        <v>338.14657999999997</v>
      </c>
      <c r="O21" s="598">
        <v>338.14657999999997</v>
      </c>
      <c r="P21" s="598">
        <v>338.14657999999997</v>
      </c>
      <c r="Q21" s="598">
        <v>338.14657999999997</v>
      </c>
      <c r="R21" s="598">
        <v>338.14657999999997</v>
      </c>
      <c r="S21" s="568"/>
      <c r="T21" s="568"/>
    </row>
    <row r="22" spans="1:20" x14ac:dyDescent="0.2">
      <c r="B22" s="89" t="s">
        <v>54</v>
      </c>
      <c r="C22" s="106" t="s">
        <v>55</v>
      </c>
      <c r="E22" s="597" t="s">
        <v>14</v>
      </c>
      <c r="G22" s="105" t="s">
        <v>56</v>
      </c>
      <c r="H22" s="598">
        <v>7.65</v>
      </c>
      <c r="I22" s="598">
        <v>7.98</v>
      </c>
      <c r="J22" s="598">
        <v>0</v>
      </c>
      <c r="K22" s="598">
        <v>0</v>
      </c>
      <c r="L22" s="598">
        <v>0</v>
      </c>
      <c r="M22" s="598">
        <v>0</v>
      </c>
      <c r="N22" s="598">
        <v>0</v>
      </c>
      <c r="O22" s="598">
        <v>0</v>
      </c>
      <c r="P22" s="598">
        <v>0</v>
      </c>
      <c r="Q22" s="598">
        <v>0</v>
      </c>
      <c r="R22" s="598">
        <v>0</v>
      </c>
      <c r="S22" s="568"/>
      <c r="T22" s="568"/>
    </row>
    <row r="23" spans="1:20" x14ac:dyDescent="0.2">
      <c r="B23" s="89" t="s">
        <v>57</v>
      </c>
      <c r="C23" s="106">
        <v>257</v>
      </c>
      <c r="E23" s="597" t="s">
        <v>14</v>
      </c>
      <c r="G23" s="105" t="s">
        <v>58</v>
      </c>
      <c r="H23" s="598">
        <v>0</v>
      </c>
      <c r="I23" s="598">
        <v>0</v>
      </c>
      <c r="J23" s="598">
        <v>0</v>
      </c>
      <c r="K23" s="598">
        <v>0</v>
      </c>
      <c r="L23" s="598">
        <v>0</v>
      </c>
      <c r="M23" s="598">
        <v>0</v>
      </c>
      <c r="N23" s="598">
        <v>0</v>
      </c>
      <c r="O23" s="598">
        <v>0</v>
      </c>
      <c r="P23" s="598">
        <v>0</v>
      </c>
      <c r="Q23" s="598">
        <v>0</v>
      </c>
      <c r="R23" s="598">
        <v>0</v>
      </c>
      <c r="S23" s="568"/>
      <c r="T23" s="568"/>
    </row>
    <row r="24" spans="1:20" x14ac:dyDescent="0.2">
      <c r="A24" s="122"/>
      <c r="B24" s="89" t="s">
        <v>59</v>
      </c>
      <c r="C24" s="106" t="s">
        <v>60</v>
      </c>
      <c r="E24" s="597" t="s">
        <v>14</v>
      </c>
      <c r="F24" s="122"/>
      <c r="G24" s="105" t="s">
        <v>61</v>
      </c>
      <c r="H24" s="598">
        <v>869.89599999999996</v>
      </c>
      <c r="I24" s="598">
        <v>568.81799999999998</v>
      </c>
      <c r="J24" s="598">
        <v>260.16500000000002</v>
      </c>
      <c r="K24" s="598">
        <v>0</v>
      </c>
      <c r="L24" s="598">
        <v>0</v>
      </c>
      <c r="M24" s="598">
        <v>0</v>
      </c>
      <c r="N24" s="598">
        <v>0</v>
      </c>
      <c r="O24" s="598">
        <v>0</v>
      </c>
      <c r="P24" s="598">
        <v>0</v>
      </c>
      <c r="Q24" s="598">
        <v>0</v>
      </c>
      <c r="R24" s="598">
        <v>0</v>
      </c>
      <c r="S24" s="575"/>
      <c r="T24" s="568"/>
    </row>
    <row r="25" spans="1:20" x14ac:dyDescent="0.2">
      <c r="A25" s="122"/>
      <c r="B25" s="89" t="s">
        <v>62</v>
      </c>
      <c r="C25" s="106" t="s">
        <v>63</v>
      </c>
      <c r="E25" s="597" t="s">
        <v>14</v>
      </c>
      <c r="F25" s="122"/>
      <c r="G25" s="105" t="s">
        <v>64</v>
      </c>
      <c r="H25" s="598">
        <v>0</v>
      </c>
      <c r="I25" s="598">
        <v>0</v>
      </c>
      <c r="J25" s="598">
        <v>0</v>
      </c>
      <c r="K25" s="598">
        <v>0</v>
      </c>
      <c r="L25" s="598">
        <v>0</v>
      </c>
      <c r="M25" s="598">
        <v>0</v>
      </c>
      <c r="N25" s="598">
        <v>0</v>
      </c>
      <c r="O25" s="598">
        <v>0</v>
      </c>
      <c r="P25" s="598">
        <v>0</v>
      </c>
      <c r="Q25" s="598">
        <v>0</v>
      </c>
      <c r="R25" s="598">
        <v>0</v>
      </c>
      <c r="S25" s="568"/>
      <c r="T25" s="568"/>
    </row>
    <row r="26" spans="1:20" x14ac:dyDescent="0.2">
      <c r="B26" s="89" t="s">
        <v>65</v>
      </c>
      <c r="C26" s="106">
        <v>28</v>
      </c>
      <c r="E26" s="597" t="s">
        <v>14</v>
      </c>
      <c r="G26" s="105" t="s">
        <v>66</v>
      </c>
      <c r="H26" s="598">
        <v>0</v>
      </c>
      <c r="I26" s="598">
        <v>0</v>
      </c>
      <c r="J26" s="598">
        <v>0</v>
      </c>
      <c r="K26" s="598">
        <v>0</v>
      </c>
      <c r="L26" s="598">
        <v>0</v>
      </c>
      <c r="M26" s="598">
        <v>0</v>
      </c>
      <c r="N26" s="598">
        <v>0</v>
      </c>
      <c r="O26" s="598">
        <v>0</v>
      </c>
      <c r="P26" s="598">
        <v>0</v>
      </c>
      <c r="Q26" s="598">
        <v>0</v>
      </c>
      <c r="R26" s="598">
        <v>0</v>
      </c>
      <c r="S26" s="568"/>
      <c r="T26" s="568"/>
    </row>
    <row r="27" spans="1:20" x14ac:dyDescent="0.2">
      <c r="B27" s="89" t="s">
        <v>67</v>
      </c>
      <c r="C27" s="106">
        <v>29</v>
      </c>
      <c r="E27" s="109"/>
      <c r="G27" s="105" t="s">
        <v>68</v>
      </c>
      <c r="H27" s="572">
        <f t="shared" ref="H27:R27" si="5">SUM(H28:H30)</f>
        <v>3323.0039999999999</v>
      </c>
      <c r="I27" s="572">
        <f t="shared" si="5"/>
        <v>3560.2539999999999</v>
      </c>
      <c r="J27" s="572">
        <f t="shared" si="5"/>
        <v>3440.3209999999999</v>
      </c>
      <c r="K27" s="572">
        <f t="shared" si="5"/>
        <v>3491.9749999999999</v>
      </c>
      <c r="L27" s="572">
        <f t="shared" si="5"/>
        <v>4063.1220000000003</v>
      </c>
      <c r="M27" s="572">
        <f t="shared" si="5"/>
        <v>5932.4867599999998</v>
      </c>
      <c r="N27" s="572">
        <f t="shared" si="5"/>
        <v>5932.4866600000005</v>
      </c>
      <c r="O27" s="572">
        <f t="shared" si="5"/>
        <v>6034.4866600000005</v>
      </c>
      <c r="P27" s="572">
        <f t="shared" si="5"/>
        <v>6136.4866600000005</v>
      </c>
      <c r="Q27" s="572">
        <f t="shared" si="5"/>
        <v>6136.4866600000005</v>
      </c>
      <c r="R27" s="572">
        <f t="shared" si="5"/>
        <v>6135.4866600000005</v>
      </c>
      <c r="S27" s="568"/>
      <c r="T27" s="568"/>
    </row>
    <row r="28" spans="1:20" x14ac:dyDescent="0.2">
      <c r="B28" s="89" t="s">
        <v>69</v>
      </c>
      <c r="C28" s="103" t="s">
        <v>70</v>
      </c>
      <c r="D28" s="103"/>
      <c r="E28" s="597" t="s">
        <v>14</v>
      </c>
      <c r="G28" s="105" t="s">
        <v>71</v>
      </c>
      <c r="H28" s="576">
        <v>678.23299999999995</v>
      </c>
      <c r="I28" s="576">
        <v>678.23299999999995</v>
      </c>
      <c r="J28" s="576">
        <v>678.23299999999995</v>
      </c>
      <c r="K28" s="576">
        <v>678.23299999999995</v>
      </c>
      <c r="L28" s="576">
        <v>678.23299999999995</v>
      </c>
      <c r="M28" s="576">
        <v>678.23310000000004</v>
      </c>
      <c r="N28" s="576">
        <v>678.23299999999995</v>
      </c>
      <c r="O28" s="576">
        <v>678.23299999999995</v>
      </c>
      <c r="P28" s="576">
        <v>678.23299999999995</v>
      </c>
      <c r="Q28" s="576">
        <v>678.23299999999995</v>
      </c>
      <c r="R28" s="576">
        <v>678.23299999999995</v>
      </c>
      <c r="S28" s="568"/>
      <c r="T28" s="568"/>
    </row>
    <row r="29" spans="1:20" x14ac:dyDescent="0.2">
      <c r="B29" s="89" t="s">
        <v>72</v>
      </c>
      <c r="C29" s="106">
        <v>298</v>
      </c>
      <c r="E29" s="597" t="s">
        <v>14</v>
      </c>
      <c r="G29" s="105" t="s">
        <v>73</v>
      </c>
      <c r="H29" s="576">
        <v>2693.038</v>
      </c>
      <c r="I29" s="576">
        <v>2644.7710000000002</v>
      </c>
      <c r="J29" s="576">
        <v>2882.0210000000002</v>
      </c>
      <c r="K29" s="576">
        <v>2762.0880000000002</v>
      </c>
      <c r="L29" s="576">
        <v>2813.7420000000002</v>
      </c>
      <c r="M29" s="576">
        <v>3384.8887300000001</v>
      </c>
      <c r="N29" s="576">
        <v>5254.2536600000003</v>
      </c>
      <c r="O29" s="576">
        <v>5356.2536600000003</v>
      </c>
      <c r="P29" s="576">
        <v>5458.2536600000003</v>
      </c>
      <c r="Q29" s="576">
        <v>5458.2536600000003</v>
      </c>
      <c r="R29" s="576">
        <v>5457.2536600000003</v>
      </c>
      <c r="S29" s="568"/>
      <c r="T29" s="568"/>
    </row>
    <row r="30" spans="1:20" x14ac:dyDescent="0.2">
      <c r="B30" s="89" t="s">
        <v>74</v>
      </c>
      <c r="C30" s="106">
        <v>299</v>
      </c>
      <c r="E30" s="597" t="s">
        <v>464</v>
      </c>
      <c r="G30" s="105" t="s">
        <v>76</v>
      </c>
      <c r="H30" s="576">
        <v>-48.267000000000003</v>
      </c>
      <c r="I30" s="576">
        <v>237.25</v>
      </c>
      <c r="J30" s="576">
        <v>-119.93300000000001</v>
      </c>
      <c r="K30" s="576">
        <v>51.654000000000003</v>
      </c>
      <c r="L30" s="576">
        <v>571.14700000000005</v>
      </c>
      <c r="M30" s="576">
        <v>1869.36493</v>
      </c>
      <c r="N30" s="576">
        <v>0</v>
      </c>
      <c r="O30" s="576">
        <v>0</v>
      </c>
      <c r="P30" s="576">
        <v>0</v>
      </c>
      <c r="Q30" s="576">
        <v>0</v>
      </c>
      <c r="R30" s="576">
        <v>0</v>
      </c>
      <c r="S30" s="568"/>
      <c r="T30" s="568"/>
    </row>
    <row r="31" spans="1:20" s="128" customFormat="1" x14ac:dyDescent="0.2">
      <c r="A31" s="123"/>
      <c r="B31" s="97"/>
      <c r="C31" s="124"/>
      <c r="D31" s="124"/>
      <c r="E31" s="125"/>
      <c r="F31" s="123"/>
      <c r="G31" s="126" t="s">
        <v>77</v>
      </c>
      <c r="H31" s="577">
        <f t="shared" ref="H31:R31" si="6">H4-H18</f>
        <v>1.0000000002037268E-3</v>
      </c>
      <c r="I31" s="577">
        <f t="shared" si="6"/>
        <v>-1.0000000002037268E-3</v>
      </c>
      <c r="J31" s="577">
        <f t="shared" si="6"/>
        <v>9.9999999974897946E-4</v>
      </c>
      <c r="K31" s="577">
        <f t="shared" si="6"/>
        <v>1.0000000002037268E-3</v>
      </c>
      <c r="L31" s="577">
        <f t="shared" si="6"/>
        <v>-1.0000000002037268E-3</v>
      </c>
      <c r="M31" s="577">
        <f t="shared" si="6"/>
        <v>0</v>
      </c>
      <c r="N31" s="577">
        <f t="shared" si="6"/>
        <v>-0.21421999999984109</v>
      </c>
      <c r="O31" s="577">
        <f t="shared" si="6"/>
        <v>0.49636999999984255</v>
      </c>
      <c r="P31" s="577">
        <f t="shared" si="6"/>
        <v>0.20696000000043568</v>
      </c>
      <c r="Q31" s="577">
        <f t="shared" si="6"/>
        <v>-8.2449999999880674E-2</v>
      </c>
      <c r="R31" s="577">
        <f t="shared" si="6"/>
        <v>-0.37186000000019703</v>
      </c>
      <c r="S31" s="568"/>
      <c r="T31" s="578"/>
    </row>
    <row r="32" spans="1:20" x14ac:dyDescent="0.2">
      <c r="G32" s="569" t="s">
        <v>78</v>
      </c>
      <c r="H32" s="579">
        <v>2011</v>
      </c>
      <c r="I32" s="579">
        <f t="shared" ref="I32:R32" si="7">H32+1</f>
        <v>2012</v>
      </c>
      <c r="J32" s="579">
        <f t="shared" si="7"/>
        <v>2013</v>
      </c>
      <c r="K32" s="579">
        <f t="shared" si="7"/>
        <v>2014</v>
      </c>
      <c r="L32" s="579">
        <f t="shared" si="7"/>
        <v>2015</v>
      </c>
      <c r="M32" s="579">
        <f t="shared" si="7"/>
        <v>2016</v>
      </c>
      <c r="N32" s="579">
        <f t="shared" si="7"/>
        <v>2017</v>
      </c>
      <c r="O32" s="579">
        <f t="shared" si="7"/>
        <v>2018</v>
      </c>
      <c r="P32" s="579">
        <f t="shared" si="7"/>
        <v>2019</v>
      </c>
      <c r="Q32" s="579">
        <f t="shared" si="7"/>
        <v>2020</v>
      </c>
      <c r="R32" s="579">
        <f t="shared" si="7"/>
        <v>2021</v>
      </c>
      <c r="S32" s="568"/>
      <c r="T32" s="568"/>
    </row>
    <row r="33" spans="1:20" x14ac:dyDescent="0.2">
      <c r="B33" s="89" t="s">
        <v>79</v>
      </c>
      <c r="C33" s="106">
        <v>3</v>
      </c>
      <c r="G33" s="571" t="s">
        <v>80</v>
      </c>
      <c r="H33" s="572">
        <f t="shared" ref="H33:R33" si="8">SUM(H34:H37)</f>
        <v>1729.027</v>
      </c>
      <c r="I33" s="572">
        <f t="shared" si="8"/>
        <v>2345.212</v>
      </c>
      <c r="J33" s="572">
        <f t="shared" si="8"/>
        <v>2017.9409999999998</v>
      </c>
      <c r="K33" s="572">
        <f t="shared" si="8"/>
        <v>2348.7240000000002</v>
      </c>
      <c r="L33" s="572">
        <f t="shared" si="8"/>
        <v>2786.97</v>
      </c>
      <c r="M33" s="572">
        <f t="shared" si="8"/>
        <v>4814.3916399999998</v>
      </c>
      <c r="N33" s="572">
        <f t="shared" si="8"/>
        <v>2458.5</v>
      </c>
      <c r="O33" s="572">
        <f t="shared" si="8"/>
        <v>3831.6400000000003</v>
      </c>
      <c r="P33" s="572">
        <f t="shared" si="8"/>
        <v>3749.9979199999998</v>
      </c>
      <c r="Q33" s="572">
        <f t="shared" si="8"/>
        <v>3710.2618617600001</v>
      </c>
      <c r="R33" s="572">
        <f t="shared" si="8"/>
        <v>3745.45719388928</v>
      </c>
      <c r="S33" s="568"/>
      <c r="T33" s="568"/>
    </row>
    <row r="34" spans="1:20" x14ac:dyDescent="0.2">
      <c r="B34" s="89" t="s">
        <v>81</v>
      </c>
      <c r="C34" s="106">
        <v>30</v>
      </c>
      <c r="E34" s="597" t="s">
        <v>14</v>
      </c>
      <c r="G34" s="105" t="s">
        <v>82</v>
      </c>
      <c r="H34" s="598">
        <v>0</v>
      </c>
      <c r="I34" s="598">
        <v>0</v>
      </c>
      <c r="J34" s="598">
        <v>0</v>
      </c>
      <c r="K34" s="598">
        <v>0</v>
      </c>
      <c r="L34" s="598">
        <v>0</v>
      </c>
      <c r="M34" s="598">
        <v>0</v>
      </c>
      <c r="N34" s="598">
        <v>0</v>
      </c>
      <c r="O34" s="598">
        <v>0</v>
      </c>
      <c r="P34" s="598">
        <v>0</v>
      </c>
      <c r="Q34" s="598">
        <v>0</v>
      </c>
      <c r="R34" s="598">
        <v>0</v>
      </c>
      <c r="S34" s="568"/>
      <c r="T34" s="568"/>
    </row>
    <row r="35" spans="1:20" x14ac:dyDescent="0.2">
      <c r="B35" s="89" t="s">
        <v>83</v>
      </c>
      <c r="C35" s="106">
        <v>32</v>
      </c>
      <c r="E35" s="597" t="s">
        <v>14</v>
      </c>
      <c r="G35" s="105" t="s">
        <v>84</v>
      </c>
      <c r="H35" s="598">
        <v>732.75900000000001</v>
      </c>
      <c r="I35" s="598">
        <v>885.71600000000001</v>
      </c>
      <c r="J35" s="598">
        <v>856.49400000000003</v>
      </c>
      <c r="K35" s="598">
        <v>940.27499999999998</v>
      </c>
      <c r="L35" s="598">
        <v>1066.6120000000001</v>
      </c>
      <c r="M35" s="598">
        <v>1295.8996500000001</v>
      </c>
      <c r="N35" s="598">
        <v>1130</v>
      </c>
      <c r="O35" s="598">
        <v>1155.6400000000001</v>
      </c>
      <c r="P35" s="598">
        <v>1187.99792</v>
      </c>
      <c r="Q35" s="598">
        <v>1221.2618617600001</v>
      </c>
      <c r="R35" s="598">
        <v>1255.45719388928</v>
      </c>
      <c r="S35" s="568"/>
      <c r="T35" s="568"/>
    </row>
    <row r="36" spans="1:20" x14ac:dyDescent="0.2">
      <c r="A36" s="110"/>
      <c r="B36" s="89" t="s">
        <v>85</v>
      </c>
      <c r="C36" s="106">
        <v>35</v>
      </c>
      <c r="E36" s="597" t="s">
        <v>14</v>
      </c>
      <c r="F36" s="110"/>
      <c r="G36" s="105" t="s">
        <v>86</v>
      </c>
      <c r="H36" s="598">
        <v>996.26800000000003</v>
      </c>
      <c r="I36" s="598">
        <v>1476.682</v>
      </c>
      <c r="J36" s="598">
        <v>1161.3</v>
      </c>
      <c r="K36" s="598">
        <v>1408.4490000000001</v>
      </c>
      <c r="L36" s="598">
        <v>1492.7449999999999</v>
      </c>
      <c r="M36" s="598">
        <v>3512.29387</v>
      </c>
      <c r="N36" s="598">
        <v>1328.5</v>
      </c>
      <c r="O36" s="598">
        <v>2676</v>
      </c>
      <c r="P36" s="598">
        <v>2562</v>
      </c>
      <c r="Q36" s="598">
        <v>2489</v>
      </c>
      <c r="R36" s="598">
        <v>2490</v>
      </c>
      <c r="S36" s="568"/>
      <c r="T36" s="575"/>
    </row>
    <row r="37" spans="1:20" x14ac:dyDescent="0.2">
      <c r="B37" s="89" t="s">
        <v>87</v>
      </c>
      <c r="C37" s="106">
        <v>38</v>
      </c>
      <c r="E37" s="597" t="s">
        <v>14</v>
      </c>
      <c r="G37" s="105" t="s">
        <v>88</v>
      </c>
      <c r="H37" s="598">
        <v>0</v>
      </c>
      <c r="I37" s="598">
        <v>-17.186</v>
      </c>
      <c r="J37" s="598">
        <v>0.14699999999999999</v>
      </c>
      <c r="K37" s="598">
        <v>0</v>
      </c>
      <c r="L37" s="598">
        <v>227.613</v>
      </c>
      <c r="M37" s="598">
        <v>6.1981200000000003</v>
      </c>
      <c r="N37" s="598">
        <v>0</v>
      </c>
      <c r="O37" s="598">
        <v>0</v>
      </c>
      <c r="P37" s="598">
        <v>0</v>
      </c>
      <c r="Q37" s="598">
        <v>0</v>
      </c>
      <c r="R37" s="598">
        <v>0</v>
      </c>
      <c r="S37" s="568"/>
      <c r="T37" s="568"/>
    </row>
    <row r="38" spans="1:20" x14ac:dyDescent="0.2">
      <c r="B38" s="89" t="s">
        <v>89</v>
      </c>
      <c r="C38" s="106">
        <v>4</v>
      </c>
      <c r="E38" s="130"/>
      <c r="G38" s="105" t="s">
        <v>90</v>
      </c>
      <c r="H38" s="572">
        <f t="shared" ref="H38:R38" si="9">H39+H40</f>
        <v>0</v>
      </c>
      <c r="I38" s="572">
        <f t="shared" si="9"/>
        <v>0</v>
      </c>
      <c r="J38" s="572">
        <f t="shared" si="9"/>
        <v>0</v>
      </c>
      <c r="K38" s="572">
        <f t="shared" si="9"/>
        <v>-0.76100000000000001</v>
      </c>
      <c r="L38" s="572">
        <f t="shared" si="9"/>
        <v>0</v>
      </c>
      <c r="M38" s="572">
        <f t="shared" si="9"/>
        <v>0</v>
      </c>
      <c r="N38" s="572">
        <f t="shared" si="9"/>
        <v>0</v>
      </c>
      <c r="O38" s="572">
        <f t="shared" si="9"/>
        <v>0</v>
      </c>
      <c r="P38" s="572">
        <f t="shared" si="9"/>
        <v>0</v>
      </c>
      <c r="Q38" s="572">
        <f t="shared" si="9"/>
        <v>0</v>
      </c>
      <c r="R38" s="572">
        <f t="shared" si="9"/>
        <v>0</v>
      </c>
      <c r="S38" s="568"/>
      <c r="T38" s="568"/>
    </row>
    <row r="39" spans="1:20" x14ac:dyDescent="0.2">
      <c r="B39" s="89" t="s">
        <v>91</v>
      </c>
      <c r="C39" s="106">
        <v>41</v>
      </c>
      <c r="E39" s="597" t="s">
        <v>463</v>
      </c>
      <c r="G39" s="105" t="s">
        <v>93</v>
      </c>
      <c r="H39" s="576">
        <v>0</v>
      </c>
      <c r="I39" s="576">
        <v>0</v>
      </c>
      <c r="J39" s="576">
        <v>0</v>
      </c>
      <c r="K39" s="576">
        <v>0</v>
      </c>
      <c r="L39" s="576">
        <v>0</v>
      </c>
      <c r="M39" s="576">
        <v>0</v>
      </c>
      <c r="N39" s="576">
        <v>0</v>
      </c>
      <c r="O39" s="576">
        <v>0</v>
      </c>
      <c r="P39" s="576">
        <v>0</v>
      </c>
      <c r="Q39" s="576">
        <v>0</v>
      </c>
      <c r="R39" s="576">
        <v>0</v>
      </c>
      <c r="S39" s="568"/>
      <c r="T39" s="568"/>
    </row>
    <row r="40" spans="1:20" x14ac:dyDescent="0.2">
      <c r="B40" s="89" t="s">
        <v>94</v>
      </c>
      <c r="C40" s="106">
        <v>45</v>
      </c>
      <c r="E40" s="597" t="s">
        <v>463</v>
      </c>
      <c r="G40" s="105" t="s">
        <v>95</v>
      </c>
      <c r="H40" s="576">
        <v>0</v>
      </c>
      <c r="I40" s="576">
        <v>0</v>
      </c>
      <c r="J40" s="576">
        <v>0</v>
      </c>
      <c r="K40" s="576">
        <v>-0.76100000000000001</v>
      </c>
      <c r="L40" s="576">
        <v>0</v>
      </c>
      <c r="M40" s="576">
        <v>0</v>
      </c>
      <c r="N40" s="576">
        <v>0</v>
      </c>
      <c r="O40" s="576">
        <v>0</v>
      </c>
      <c r="P40" s="576">
        <v>0</v>
      </c>
      <c r="Q40" s="576">
        <v>0</v>
      </c>
      <c r="R40" s="576">
        <v>0</v>
      </c>
    </row>
    <row r="41" spans="1:20" x14ac:dyDescent="0.2">
      <c r="A41" s="110"/>
      <c r="B41" s="89" t="s">
        <v>96</v>
      </c>
      <c r="C41" s="106" t="s">
        <v>97</v>
      </c>
      <c r="E41" s="130"/>
      <c r="F41" s="110"/>
      <c r="G41" s="105" t="s">
        <v>98</v>
      </c>
      <c r="H41" s="572">
        <f t="shared" ref="H41:R41" si="10">SUM(H42:H45)</f>
        <v>-1753.0419999999999</v>
      </c>
      <c r="I41" s="572">
        <f t="shared" si="10"/>
        <v>-2092.8980000000001</v>
      </c>
      <c r="J41" s="572">
        <f t="shared" si="10"/>
        <v>-2132.9770000000003</v>
      </c>
      <c r="K41" s="572">
        <f t="shared" si="10"/>
        <v>-2295.1179999999999</v>
      </c>
      <c r="L41" s="572">
        <f t="shared" si="10"/>
        <v>-2218.5269999999996</v>
      </c>
      <c r="M41" s="572">
        <f t="shared" si="10"/>
        <v>-2946.3661699999998</v>
      </c>
      <c r="N41" s="572">
        <f t="shared" si="10"/>
        <v>-2458.8254099999999</v>
      </c>
      <c r="O41" s="572">
        <f t="shared" si="10"/>
        <v>-3832.12761</v>
      </c>
      <c r="P41" s="572">
        <f t="shared" si="10"/>
        <v>-3749.88157</v>
      </c>
      <c r="Q41" s="572">
        <f t="shared" si="10"/>
        <v>-3709.8355299999998</v>
      </c>
      <c r="R41" s="572">
        <f t="shared" si="10"/>
        <v>-3745.8748213599997</v>
      </c>
    </row>
    <row r="42" spans="1:20" x14ac:dyDescent="0.2">
      <c r="B42" s="89" t="s">
        <v>99</v>
      </c>
      <c r="C42" s="106">
        <v>50</v>
      </c>
      <c r="E42" s="597" t="s">
        <v>463</v>
      </c>
      <c r="G42" s="105" t="s">
        <v>100</v>
      </c>
      <c r="H42" s="598">
        <v>-931.74400000000003</v>
      </c>
      <c r="I42" s="598">
        <v>-1096.164</v>
      </c>
      <c r="J42" s="598">
        <v>-1144.4090000000001</v>
      </c>
      <c r="K42" s="598">
        <v>-1231.9010000000001</v>
      </c>
      <c r="L42" s="598">
        <v>-1273.4179999999999</v>
      </c>
      <c r="M42" s="598">
        <v>-1365.3809200000001</v>
      </c>
      <c r="N42" s="598">
        <v>-1476</v>
      </c>
      <c r="O42" s="598">
        <v>-2132.6381999999999</v>
      </c>
      <c r="P42" s="598">
        <v>-2245.5921600000001</v>
      </c>
      <c r="Q42" s="598">
        <v>-2358.54612</v>
      </c>
      <c r="R42" s="598">
        <v>-2424.5854113599999</v>
      </c>
    </row>
    <row r="43" spans="1:20" x14ac:dyDescent="0.2">
      <c r="B43" s="89" t="s">
        <v>101</v>
      </c>
      <c r="C43" s="106">
        <v>55</v>
      </c>
      <c r="E43" s="597" t="s">
        <v>463</v>
      </c>
      <c r="G43" s="105" t="s">
        <v>102</v>
      </c>
      <c r="H43" s="598">
        <v>-697.53</v>
      </c>
      <c r="I43" s="598">
        <v>-861.92100000000005</v>
      </c>
      <c r="J43" s="598">
        <v>-840.54300000000001</v>
      </c>
      <c r="K43" s="598">
        <v>-909.197</v>
      </c>
      <c r="L43" s="598">
        <v>-795.64300000000003</v>
      </c>
      <c r="M43" s="598">
        <v>-1389.4363000000001</v>
      </c>
      <c r="N43" s="598">
        <v>-752</v>
      </c>
      <c r="O43" s="598">
        <v>-1461.2</v>
      </c>
      <c r="P43" s="598">
        <v>-1266</v>
      </c>
      <c r="Q43" s="598">
        <v>-1108</v>
      </c>
      <c r="R43" s="598">
        <v>-1077</v>
      </c>
    </row>
    <row r="44" spans="1:20" x14ac:dyDescent="0.2">
      <c r="A44" s="110"/>
      <c r="B44" s="89" t="s">
        <v>103</v>
      </c>
      <c r="C44" s="106">
        <v>60</v>
      </c>
      <c r="E44" s="597" t="s">
        <v>463</v>
      </c>
      <c r="F44" s="110"/>
      <c r="G44" s="105" t="s">
        <v>104</v>
      </c>
      <c r="H44" s="598">
        <v>-0.66500000000000004</v>
      </c>
      <c r="I44" s="598">
        <v>-1.1519999999999999</v>
      </c>
      <c r="J44" s="598">
        <v>-0.70599999999999996</v>
      </c>
      <c r="K44" s="598">
        <v>-1.02</v>
      </c>
      <c r="L44" s="598">
        <v>-0.51600000000000001</v>
      </c>
      <c r="M44" s="598">
        <v>-0.72354000000000007</v>
      </c>
      <c r="N44" s="598">
        <v>0</v>
      </c>
      <c r="O44" s="598">
        <v>0</v>
      </c>
      <c r="P44" s="598">
        <v>0</v>
      </c>
      <c r="Q44" s="598">
        <v>0</v>
      </c>
      <c r="R44" s="598">
        <v>0</v>
      </c>
    </row>
    <row r="45" spans="1:20" x14ac:dyDescent="0.2">
      <c r="B45" s="89" t="s">
        <v>105</v>
      </c>
      <c r="C45" s="106">
        <v>61</v>
      </c>
      <c r="E45" s="597" t="s">
        <v>463</v>
      </c>
      <c r="G45" s="105" t="s">
        <v>106</v>
      </c>
      <c r="H45" s="598">
        <v>-123.10299999999999</v>
      </c>
      <c r="I45" s="598">
        <v>-133.661</v>
      </c>
      <c r="J45" s="598">
        <v>-147.31899999999999</v>
      </c>
      <c r="K45" s="598">
        <v>-153</v>
      </c>
      <c r="L45" s="598">
        <v>-148.94999999999999</v>
      </c>
      <c r="M45" s="598">
        <v>-190.82541000000001</v>
      </c>
      <c r="N45" s="598">
        <v>-230.82541000000001</v>
      </c>
      <c r="O45" s="598">
        <v>-238.28941</v>
      </c>
      <c r="P45" s="598">
        <v>-238.28941</v>
      </c>
      <c r="Q45" s="598">
        <v>-243.28941</v>
      </c>
      <c r="R45" s="598">
        <v>-244.28941</v>
      </c>
    </row>
    <row r="46" spans="1:20" x14ac:dyDescent="0.2">
      <c r="B46" s="89" t="s">
        <v>107</v>
      </c>
      <c r="G46" s="105" t="s">
        <v>108</v>
      </c>
      <c r="H46" s="572">
        <f t="shared" ref="H46:R46" si="11">H33+H38+H41</f>
        <v>-24.014999999999873</v>
      </c>
      <c r="I46" s="572">
        <f t="shared" si="11"/>
        <v>252.31399999999985</v>
      </c>
      <c r="J46" s="572">
        <f t="shared" si="11"/>
        <v>-115.03600000000051</v>
      </c>
      <c r="K46" s="572">
        <f t="shared" si="11"/>
        <v>52.845000000000255</v>
      </c>
      <c r="L46" s="572">
        <f t="shared" si="11"/>
        <v>568.44300000000021</v>
      </c>
      <c r="M46" s="572">
        <f t="shared" si="11"/>
        <v>1868.02547</v>
      </c>
      <c r="N46" s="572">
        <f t="shared" si="11"/>
        <v>-0.32540999999991982</v>
      </c>
      <c r="O46" s="572">
        <f t="shared" si="11"/>
        <v>-0.4876099999996768</v>
      </c>
      <c r="P46" s="572">
        <f t="shared" si="11"/>
        <v>0.1163499999997839</v>
      </c>
      <c r="Q46" s="572">
        <f t="shared" si="11"/>
        <v>0.42633176000026651</v>
      </c>
      <c r="R46" s="572">
        <f t="shared" si="11"/>
        <v>-0.41762747071970807</v>
      </c>
    </row>
    <row r="47" spans="1:20" x14ac:dyDescent="0.2">
      <c r="B47" s="89" t="s">
        <v>109</v>
      </c>
      <c r="C47" s="106">
        <v>65</v>
      </c>
      <c r="E47" s="597" t="s">
        <v>464</v>
      </c>
      <c r="G47" s="105" t="s">
        <v>110</v>
      </c>
      <c r="H47" s="600">
        <v>-24.251000000000001</v>
      </c>
      <c r="I47" s="600">
        <v>-15.064</v>
      </c>
      <c r="J47" s="600">
        <v>-4.8970000000000002</v>
      </c>
      <c r="K47" s="600">
        <v>-1.1910000000000001</v>
      </c>
      <c r="L47" s="600">
        <v>2.7039999999999997</v>
      </c>
      <c r="M47" s="600">
        <v>1.3394600000000001</v>
      </c>
      <c r="N47" s="600">
        <v>0</v>
      </c>
      <c r="O47" s="600">
        <v>0</v>
      </c>
      <c r="P47" s="600">
        <v>0</v>
      </c>
      <c r="Q47" s="600">
        <v>0</v>
      </c>
      <c r="R47" s="600">
        <v>0</v>
      </c>
    </row>
    <row r="48" spans="1:20" x14ac:dyDescent="0.2">
      <c r="B48" s="89" t="s">
        <v>111</v>
      </c>
      <c r="G48" s="105" t="s">
        <v>112</v>
      </c>
      <c r="H48" s="572">
        <f t="shared" ref="H48:R48" si="12">H46+H47</f>
        <v>-48.265999999999877</v>
      </c>
      <c r="I48" s="572">
        <f t="shared" si="12"/>
        <v>237.24999999999986</v>
      </c>
      <c r="J48" s="572">
        <f t="shared" si="12"/>
        <v>-119.93300000000052</v>
      </c>
      <c r="K48" s="572">
        <f t="shared" si="12"/>
        <v>51.654000000000252</v>
      </c>
      <c r="L48" s="572">
        <f t="shared" si="12"/>
        <v>571.14700000000016</v>
      </c>
      <c r="M48" s="572">
        <f t="shared" si="12"/>
        <v>1869.36493</v>
      </c>
      <c r="N48" s="572">
        <f t="shared" si="12"/>
        <v>-0.32540999999991982</v>
      </c>
      <c r="O48" s="572">
        <f t="shared" si="12"/>
        <v>-0.4876099999996768</v>
      </c>
      <c r="P48" s="572">
        <f t="shared" si="12"/>
        <v>0.1163499999997839</v>
      </c>
      <c r="Q48" s="572">
        <f t="shared" si="12"/>
        <v>0.42633176000026651</v>
      </c>
      <c r="R48" s="572">
        <f t="shared" si="12"/>
        <v>-0.41762747071970807</v>
      </c>
    </row>
    <row r="49" spans="1:18" x14ac:dyDescent="0.2">
      <c r="B49" s="89" t="s">
        <v>113</v>
      </c>
      <c r="C49" s="106">
        <v>68</v>
      </c>
      <c r="E49" s="597" t="s">
        <v>463</v>
      </c>
      <c r="G49" s="105" t="s">
        <v>114</v>
      </c>
      <c r="H49" s="576">
        <v>0</v>
      </c>
      <c r="I49" s="576">
        <v>0</v>
      </c>
      <c r="J49" s="576">
        <v>0</v>
      </c>
      <c r="K49" s="576">
        <v>0</v>
      </c>
      <c r="L49" s="576">
        <v>0</v>
      </c>
      <c r="M49" s="576">
        <v>0</v>
      </c>
      <c r="N49" s="576">
        <v>0</v>
      </c>
      <c r="O49" s="576">
        <v>0</v>
      </c>
      <c r="P49" s="576">
        <v>0</v>
      </c>
      <c r="Q49" s="576">
        <v>0</v>
      </c>
      <c r="R49" s="576">
        <v>0</v>
      </c>
    </row>
    <row r="50" spans="1:18" x14ac:dyDescent="0.2">
      <c r="B50" s="89" t="s">
        <v>115</v>
      </c>
      <c r="C50" s="106">
        <v>69</v>
      </c>
      <c r="E50" s="597" t="s">
        <v>14</v>
      </c>
      <c r="G50" s="105" t="s">
        <v>116</v>
      </c>
      <c r="H50" s="576">
        <v>0</v>
      </c>
      <c r="I50" s="576">
        <v>0</v>
      </c>
      <c r="J50" s="576">
        <v>0</v>
      </c>
      <c r="K50" s="576">
        <v>0</v>
      </c>
      <c r="L50" s="576">
        <v>0</v>
      </c>
      <c r="M50" s="576">
        <v>0</v>
      </c>
      <c r="N50" s="576">
        <v>0</v>
      </c>
      <c r="O50" s="576">
        <v>0</v>
      </c>
      <c r="P50" s="576">
        <v>0</v>
      </c>
      <c r="Q50" s="576">
        <v>0</v>
      </c>
      <c r="R50" s="576">
        <v>0</v>
      </c>
    </row>
    <row r="51" spans="1:18" x14ac:dyDescent="0.2">
      <c r="B51" s="89" t="s">
        <v>117</v>
      </c>
      <c r="G51" s="105" t="s">
        <v>118</v>
      </c>
      <c r="H51" s="572">
        <f t="shared" ref="H51:R51" si="13">H48+H49+H50</f>
        <v>-48.265999999999877</v>
      </c>
      <c r="I51" s="572">
        <f t="shared" si="13"/>
        <v>237.24999999999986</v>
      </c>
      <c r="J51" s="572">
        <f t="shared" si="13"/>
        <v>-119.93300000000052</v>
      </c>
      <c r="K51" s="572">
        <f t="shared" si="13"/>
        <v>51.654000000000252</v>
      </c>
      <c r="L51" s="572">
        <f t="shared" si="13"/>
        <v>571.14700000000016</v>
      </c>
      <c r="M51" s="572">
        <f t="shared" si="13"/>
        <v>1869.36493</v>
      </c>
      <c r="N51" s="572">
        <f t="shared" si="13"/>
        <v>-0.32540999999991982</v>
      </c>
      <c r="O51" s="572">
        <f t="shared" si="13"/>
        <v>-0.4876099999996768</v>
      </c>
      <c r="P51" s="572">
        <f t="shared" si="13"/>
        <v>0.1163499999997839</v>
      </c>
      <c r="Q51" s="572">
        <f t="shared" si="13"/>
        <v>0.42633176000026651</v>
      </c>
      <c r="R51" s="572">
        <f t="shared" si="13"/>
        <v>-0.41762747071970807</v>
      </c>
    </row>
    <row r="52" spans="1:18" x14ac:dyDescent="0.2">
      <c r="A52" s="131"/>
      <c r="C52" s="132"/>
      <c r="D52" s="132"/>
      <c r="E52" s="133"/>
      <c r="F52" s="131"/>
      <c r="G52" s="126" t="s">
        <v>119</v>
      </c>
      <c r="H52" s="577">
        <f t="shared" ref="H52:R52" si="14">H30-H51</f>
        <v>-1.0000000001255671E-3</v>
      </c>
      <c r="I52" s="577">
        <f t="shared" si="14"/>
        <v>0</v>
      </c>
      <c r="J52" s="577">
        <f t="shared" si="14"/>
        <v>5.1159076974727213E-13</v>
      </c>
      <c r="K52" s="577">
        <f t="shared" si="14"/>
        <v>-2.4868995751603507E-13</v>
      </c>
      <c r="L52" s="577">
        <f t="shared" si="14"/>
        <v>0</v>
      </c>
      <c r="M52" s="577">
        <f t="shared" si="14"/>
        <v>0</v>
      </c>
      <c r="N52" s="577">
        <f t="shared" si="14"/>
        <v>0.32540999999991982</v>
      </c>
      <c r="O52" s="577">
        <f t="shared" si="14"/>
        <v>0.4876099999996768</v>
      </c>
      <c r="P52" s="577">
        <f t="shared" si="14"/>
        <v>-0.1163499999997839</v>
      </c>
      <c r="Q52" s="577">
        <f t="shared" si="14"/>
        <v>-0.42633176000026651</v>
      </c>
      <c r="R52" s="577">
        <f t="shared" si="14"/>
        <v>0.41762747071970807</v>
      </c>
    </row>
    <row r="53" spans="1:18" x14ac:dyDescent="0.2">
      <c r="G53" s="134" t="s">
        <v>120</v>
      </c>
    </row>
    <row r="54" spans="1:18" x14ac:dyDescent="0.2">
      <c r="C54" s="106">
        <v>90</v>
      </c>
      <c r="E54" s="597" t="s">
        <v>14</v>
      </c>
      <c r="G54" s="134" t="s">
        <v>121</v>
      </c>
      <c r="H54" s="576">
        <v>77</v>
      </c>
      <c r="I54" s="576">
        <v>78</v>
      </c>
      <c r="J54" s="576">
        <v>79</v>
      </c>
      <c r="K54" s="576">
        <v>79</v>
      </c>
      <c r="L54" s="576">
        <v>79</v>
      </c>
      <c r="M54" s="576">
        <v>77.06</v>
      </c>
      <c r="N54" s="576">
        <f>+M54+2</f>
        <v>79.06</v>
      </c>
      <c r="O54" s="576">
        <v>86</v>
      </c>
      <c r="P54" s="576">
        <v>86</v>
      </c>
      <c r="Q54" s="576">
        <f>+P54+2</f>
        <v>88</v>
      </c>
      <c r="R54" s="576">
        <f>+Q54+2</f>
        <v>90</v>
      </c>
    </row>
    <row r="55" spans="1:18" x14ac:dyDescent="0.2">
      <c r="E55" s="597" t="s">
        <v>14</v>
      </c>
      <c r="G55" s="134" t="s">
        <v>122</v>
      </c>
      <c r="H55" s="576"/>
      <c r="I55" s="576"/>
      <c r="J55" s="576"/>
      <c r="K55" s="576"/>
      <c r="L55" s="580"/>
      <c r="M55" s="580"/>
      <c r="N55" s="580"/>
      <c r="O55" s="580"/>
      <c r="P55" s="580"/>
      <c r="Q55" s="580"/>
      <c r="R55" s="580"/>
    </row>
    <row r="57" spans="1:18" x14ac:dyDescent="0.2">
      <c r="D57" s="136" t="s">
        <v>123</v>
      </c>
      <c r="E57" s="137" t="s">
        <v>3</v>
      </c>
      <c r="F57" s="104"/>
      <c r="G57" s="569" t="s">
        <v>124</v>
      </c>
      <c r="H57" s="579">
        <f t="shared" ref="H57:R57" si="15">H32</f>
        <v>2011</v>
      </c>
      <c r="I57" s="579">
        <f t="shared" si="15"/>
        <v>2012</v>
      </c>
      <c r="J57" s="579">
        <f t="shared" si="15"/>
        <v>2013</v>
      </c>
      <c r="K57" s="579">
        <f t="shared" si="15"/>
        <v>2014</v>
      </c>
      <c r="L57" s="579">
        <f t="shared" si="15"/>
        <v>2015</v>
      </c>
      <c r="M57" s="579">
        <f t="shared" si="15"/>
        <v>2016</v>
      </c>
      <c r="N57" s="579">
        <f t="shared" si="15"/>
        <v>2017</v>
      </c>
      <c r="O57" s="579">
        <f t="shared" si="15"/>
        <v>2018</v>
      </c>
      <c r="P57" s="579">
        <f t="shared" si="15"/>
        <v>2019</v>
      </c>
      <c r="Q57" s="579">
        <f t="shared" si="15"/>
        <v>2020</v>
      </c>
      <c r="R57" s="579">
        <f t="shared" si="15"/>
        <v>2021</v>
      </c>
    </row>
    <row r="58" spans="1:18" ht="11.25" customHeight="1" x14ac:dyDescent="0.2">
      <c r="B58" s="138" t="s">
        <v>125</v>
      </c>
      <c r="C58" s="103" t="s">
        <v>126</v>
      </c>
      <c r="D58" s="139" t="s">
        <v>127</v>
      </c>
      <c r="E58" s="597" t="s">
        <v>463</v>
      </c>
      <c r="F58" s="109"/>
      <c r="G58" s="571" t="s">
        <v>128</v>
      </c>
      <c r="H58" s="576">
        <v>-25.201000000000001</v>
      </c>
      <c r="I58" s="576">
        <v>0</v>
      </c>
      <c r="J58" s="576">
        <v>-56.554000000000002</v>
      </c>
      <c r="K58" s="576">
        <v>-103.19799999999999</v>
      </c>
      <c r="L58" s="576">
        <v>-332.03399999999999</v>
      </c>
      <c r="M58" s="576">
        <v>-330.78377</v>
      </c>
      <c r="N58" s="576">
        <v>0</v>
      </c>
      <c r="O58" s="576">
        <v>-323</v>
      </c>
      <c r="P58" s="576">
        <v>-102</v>
      </c>
      <c r="Q58" s="576">
        <v>-250</v>
      </c>
      <c r="R58" s="576">
        <v>-250</v>
      </c>
    </row>
    <row r="59" spans="1:18" x14ac:dyDescent="0.2">
      <c r="B59" s="138" t="s">
        <v>129</v>
      </c>
      <c r="C59" s="140" t="s">
        <v>130</v>
      </c>
      <c r="D59" s="139" t="s">
        <v>131</v>
      </c>
      <c r="E59" s="597" t="s">
        <v>14</v>
      </c>
      <c r="F59" s="109"/>
      <c r="G59" s="141" t="s">
        <v>132</v>
      </c>
      <c r="H59" s="576">
        <v>0</v>
      </c>
      <c r="I59" s="576">
        <v>9.9770000000000003</v>
      </c>
      <c r="J59" s="576">
        <v>0.15</v>
      </c>
      <c r="K59" s="576">
        <v>0</v>
      </c>
      <c r="L59" s="576">
        <v>0</v>
      </c>
      <c r="M59" s="576">
        <v>0</v>
      </c>
      <c r="N59" s="576">
        <v>0</v>
      </c>
      <c r="O59" s="576">
        <v>0</v>
      </c>
      <c r="P59" s="576">
        <v>0</v>
      </c>
      <c r="Q59" s="576">
        <v>0</v>
      </c>
      <c r="R59" s="576">
        <v>0</v>
      </c>
    </row>
    <row r="60" spans="1:18" x14ac:dyDescent="0.2">
      <c r="B60" s="138" t="s">
        <v>133</v>
      </c>
      <c r="C60" s="103" t="s">
        <v>134</v>
      </c>
      <c r="D60" s="139" t="s">
        <v>135</v>
      </c>
      <c r="E60" s="597" t="s">
        <v>14</v>
      </c>
      <c r="F60" s="109"/>
      <c r="G60" s="105" t="s">
        <v>136</v>
      </c>
      <c r="H60" s="576">
        <v>321.63799999999998</v>
      </c>
      <c r="I60" s="576">
        <v>333.03399999999999</v>
      </c>
      <c r="J60" s="576">
        <v>434.60899999999998</v>
      </c>
      <c r="K60" s="576">
        <v>422.88900000000001</v>
      </c>
      <c r="L60" s="576">
        <v>1090</v>
      </c>
      <c r="M60" s="576">
        <v>2013.1</v>
      </c>
      <c r="N60" s="576">
        <v>0</v>
      </c>
      <c r="O60" s="576">
        <v>323</v>
      </c>
      <c r="P60" s="576">
        <v>102</v>
      </c>
      <c r="Q60" s="576">
        <v>0</v>
      </c>
      <c r="R60" s="576">
        <v>0</v>
      </c>
    </row>
    <row r="61" spans="1:18" x14ac:dyDescent="0.2">
      <c r="B61" s="138" t="s">
        <v>137</v>
      </c>
      <c r="C61" s="103" t="s">
        <v>138</v>
      </c>
      <c r="D61" s="103" t="s">
        <v>139</v>
      </c>
      <c r="E61" s="597" t="s">
        <v>463</v>
      </c>
      <c r="F61" s="109"/>
      <c r="G61" s="105" t="s">
        <v>140</v>
      </c>
      <c r="H61" s="576">
        <v>0</v>
      </c>
      <c r="I61" s="576">
        <v>0</v>
      </c>
      <c r="J61" s="576">
        <v>0</v>
      </c>
      <c r="K61" s="576">
        <v>0</v>
      </c>
      <c r="L61" s="576">
        <v>0</v>
      </c>
      <c r="M61" s="576">
        <v>0</v>
      </c>
      <c r="N61" s="576">
        <v>0</v>
      </c>
      <c r="O61" s="576">
        <v>0</v>
      </c>
      <c r="P61" s="576">
        <v>0</v>
      </c>
      <c r="Q61" s="576">
        <v>0</v>
      </c>
      <c r="R61" s="576">
        <v>0</v>
      </c>
    </row>
    <row r="62" spans="1:18" x14ac:dyDescent="0.2">
      <c r="B62" s="138" t="s">
        <v>141</v>
      </c>
      <c r="C62" s="106">
        <v>253800</v>
      </c>
      <c r="D62" s="103" t="s">
        <v>135</v>
      </c>
      <c r="E62" s="597" t="s">
        <v>14</v>
      </c>
      <c r="F62" s="109"/>
      <c r="G62" s="105" t="s">
        <v>142</v>
      </c>
      <c r="H62" s="576">
        <v>0</v>
      </c>
      <c r="I62" s="576">
        <v>0</v>
      </c>
      <c r="J62" s="576">
        <v>0</v>
      </c>
      <c r="K62" s="576">
        <v>0</v>
      </c>
      <c r="L62" s="576">
        <v>0</v>
      </c>
      <c r="M62" s="576">
        <v>0</v>
      </c>
      <c r="N62" s="576">
        <v>0</v>
      </c>
      <c r="O62" s="576">
        <v>0</v>
      </c>
      <c r="P62" s="576">
        <v>0</v>
      </c>
      <c r="Q62" s="576">
        <v>0</v>
      </c>
      <c r="R62" s="576">
        <v>0</v>
      </c>
    </row>
    <row r="63" spans="1:18" x14ac:dyDescent="0.2">
      <c r="B63" s="138" t="s">
        <v>143</v>
      </c>
      <c r="C63" s="106">
        <v>150</v>
      </c>
      <c r="D63" s="103" t="s">
        <v>139</v>
      </c>
      <c r="E63" s="597" t="s">
        <v>463</v>
      </c>
      <c r="F63" s="109"/>
      <c r="G63" s="105" t="s">
        <v>144</v>
      </c>
      <c r="H63" s="576">
        <v>0</v>
      </c>
      <c r="I63" s="576">
        <v>0</v>
      </c>
      <c r="J63" s="576">
        <v>0</v>
      </c>
      <c r="K63" s="576">
        <v>0</v>
      </c>
      <c r="L63" s="576">
        <v>0</v>
      </c>
      <c r="M63" s="576">
        <v>0</v>
      </c>
      <c r="N63" s="576">
        <v>0</v>
      </c>
      <c r="O63" s="576">
        <v>0</v>
      </c>
      <c r="P63" s="576">
        <v>0</v>
      </c>
      <c r="Q63" s="576">
        <v>0</v>
      </c>
      <c r="R63" s="576">
        <v>0</v>
      </c>
    </row>
    <row r="64" spans="1:18" x14ac:dyDescent="0.2">
      <c r="B64" s="138" t="s">
        <v>145</v>
      </c>
      <c r="C64" s="103" t="s">
        <v>146</v>
      </c>
      <c r="D64" s="103" t="s">
        <v>135</v>
      </c>
      <c r="E64" s="597" t="s">
        <v>14</v>
      </c>
      <c r="F64" s="109"/>
      <c r="G64" s="105" t="s">
        <v>147</v>
      </c>
      <c r="H64" s="576">
        <v>0</v>
      </c>
      <c r="I64" s="576">
        <v>0</v>
      </c>
      <c r="J64" s="576">
        <v>0</v>
      </c>
      <c r="K64" s="576">
        <v>0</v>
      </c>
      <c r="L64" s="576">
        <v>0</v>
      </c>
      <c r="M64" s="576">
        <v>0</v>
      </c>
      <c r="N64" s="576">
        <v>0</v>
      </c>
      <c r="O64" s="576">
        <v>0</v>
      </c>
      <c r="P64" s="576">
        <v>0</v>
      </c>
      <c r="Q64" s="576">
        <v>0</v>
      </c>
      <c r="R64" s="576">
        <v>0</v>
      </c>
    </row>
    <row r="65" spans="2:18" x14ac:dyDescent="0.2">
      <c r="B65" s="138" t="s">
        <v>148</v>
      </c>
      <c r="C65" s="103" t="s">
        <v>149</v>
      </c>
      <c r="D65" s="103" t="s">
        <v>139</v>
      </c>
      <c r="E65" s="597" t="s">
        <v>463</v>
      </c>
      <c r="F65" s="109"/>
      <c r="G65" s="105" t="s">
        <v>150</v>
      </c>
      <c r="H65" s="576">
        <v>0</v>
      </c>
      <c r="I65" s="576">
        <v>0</v>
      </c>
      <c r="J65" s="576">
        <v>0</v>
      </c>
      <c r="K65" s="576">
        <v>0</v>
      </c>
      <c r="L65" s="576">
        <v>0</v>
      </c>
      <c r="M65" s="576">
        <v>0</v>
      </c>
      <c r="N65" s="576">
        <v>0</v>
      </c>
      <c r="O65" s="576">
        <v>0</v>
      </c>
      <c r="P65" s="576">
        <v>0</v>
      </c>
      <c r="Q65" s="576">
        <v>0</v>
      </c>
      <c r="R65" s="576">
        <v>0</v>
      </c>
    </row>
    <row r="66" spans="2:18" x14ac:dyDescent="0.2">
      <c r="B66" s="138" t="s">
        <v>151</v>
      </c>
      <c r="C66" s="103" t="s">
        <v>149</v>
      </c>
      <c r="D66" s="103" t="s">
        <v>135</v>
      </c>
      <c r="E66" s="597" t="s">
        <v>14</v>
      </c>
      <c r="F66" s="109"/>
      <c r="G66" s="105" t="s">
        <v>152</v>
      </c>
      <c r="H66" s="576">
        <v>0</v>
      </c>
      <c r="I66" s="576">
        <v>0</v>
      </c>
      <c r="J66" s="576">
        <v>0</v>
      </c>
      <c r="K66" s="576">
        <v>0</v>
      </c>
      <c r="L66" s="576">
        <v>0</v>
      </c>
      <c r="M66" s="576">
        <v>0</v>
      </c>
      <c r="N66" s="576">
        <v>0</v>
      </c>
      <c r="O66" s="576">
        <v>0</v>
      </c>
      <c r="P66" s="576">
        <v>0</v>
      </c>
      <c r="Q66" s="576">
        <v>0</v>
      </c>
      <c r="R66" s="576">
        <v>0</v>
      </c>
    </row>
    <row r="67" spans="2:18" x14ac:dyDescent="0.2">
      <c r="B67" s="138" t="s">
        <v>153</v>
      </c>
      <c r="C67" s="103" t="s">
        <v>154</v>
      </c>
      <c r="D67" s="103" t="s">
        <v>139</v>
      </c>
      <c r="E67" s="597" t="s">
        <v>463</v>
      </c>
      <c r="F67" s="109"/>
      <c r="G67" s="105" t="s">
        <v>155</v>
      </c>
      <c r="H67" s="576">
        <v>0</v>
      </c>
      <c r="I67" s="576">
        <v>-0.60000000000000009</v>
      </c>
      <c r="J67" s="576">
        <v>-0.7</v>
      </c>
      <c r="K67" s="576">
        <v>0</v>
      </c>
      <c r="L67" s="576">
        <v>0</v>
      </c>
      <c r="M67" s="576">
        <v>0</v>
      </c>
      <c r="N67" s="576">
        <v>0</v>
      </c>
      <c r="O67" s="576">
        <v>0</v>
      </c>
      <c r="P67" s="576">
        <v>0</v>
      </c>
      <c r="Q67" s="576">
        <v>0</v>
      </c>
      <c r="R67" s="576">
        <v>0</v>
      </c>
    </row>
    <row r="68" spans="2:18" x14ac:dyDescent="0.2">
      <c r="B68" s="138" t="s">
        <v>156</v>
      </c>
      <c r="C68" s="103" t="s">
        <v>154</v>
      </c>
      <c r="D68" s="103" t="s">
        <v>135</v>
      </c>
      <c r="E68" s="597" t="s">
        <v>14</v>
      </c>
      <c r="F68" s="109"/>
      <c r="G68" s="105" t="s">
        <v>157</v>
      </c>
      <c r="H68" s="576">
        <v>0.183</v>
      </c>
      <c r="I68" s="576">
        <v>0.39900000000000002</v>
      </c>
      <c r="J68" s="576">
        <v>0.433</v>
      </c>
      <c r="K68" s="576">
        <v>0.46800000000000003</v>
      </c>
      <c r="L68" s="576">
        <v>0</v>
      </c>
      <c r="M68" s="576">
        <v>0</v>
      </c>
      <c r="N68" s="576">
        <v>0</v>
      </c>
      <c r="O68" s="576">
        <v>0</v>
      </c>
      <c r="P68" s="576">
        <v>0</v>
      </c>
      <c r="Q68" s="576">
        <v>0</v>
      </c>
      <c r="R68" s="576">
        <v>0</v>
      </c>
    </row>
    <row r="69" spans="2:18" x14ac:dyDescent="0.2">
      <c r="B69" s="138" t="s">
        <v>158</v>
      </c>
      <c r="C69" s="103" t="s">
        <v>146</v>
      </c>
      <c r="D69" s="103" t="s">
        <v>135</v>
      </c>
      <c r="E69" s="597" t="s">
        <v>14</v>
      </c>
      <c r="F69" s="109"/>
      <c r="G69" s="105" t="s">
        <v>159</v>
      </c>
      <c r="H69" s="576">
        <v>0</v>
      </c>
      <c r="I69" s="576">
        <v>0</v>
      </c>
      <c r="J69" s="576">
        <v>0</v>
      </c>
      <c r="K69" s="576">
        <v>0</v>
      </c>
      <c r="L69" s="576">
        <v>0</v>
      </c>
      <c r="M69" s="576">
        <v>0</v>
      </c>
      <c r="N69" s="576">
        <v>0</v>
      </c>
      <c r="O69" s="576">
        <v>0</v>
      </c>
      <c r="P69" s="576">
        <v>0</v>
      </c>
      <c r="Q69" s="576">
        <v>0</v>
      </c>
      <c r="R69" s="576">
        <v>0</v>
      </c>
    </row>
    <row r="70" spans="2:18" x14ac:dyDescent="0.2">
      <c r="B70" s="138" t="s">
        <v>160</v>
      </c>
      <c r="C70" s="121" t="s">
        <v>161</v>
      </c>
      <c r="D70" s="103"/>
      <c r="E70" s="597" t="s">
        <v>464</v>
      </c>
      <c r="F70" s="109"/>
      <c r="G70" s="105" t="s">
        <v>110</v>
      </c>
      <c r="H70" s="576">
        <v>0.81200000000000006</v>
      </c>
      <c r="I70" s="576">
        <v>0</v>
      </c>
      <c r="J70" s="576">
        <v>0.51900000000000002</v>
      </c>
      <c r="K70" s="576">
        <v>0.32800000000000001</v>
      </c>
      <c r="L70" s="576">
        <v>1.5840000000000001</v>
      </c>
      <c r="M70" s="576">
        <v>1</v>
      </c>
      <c r="N70" s="576">
        <v>0</v>
      </c>
      <c r="O70" s="576">
        <v>0</v>
      </c>
      <c r="P70" s="576">
        <v>0</v>
      </c>
      <c r="Q70" s="576">
        <v>0</v>
      </c>
      <c r="R70" s="576">
        <v>0</v>
      </c>
    </row>
    <row r="71" spans="2:18" x14ac:dyDescent="0.2">
      <c r="B71" s="138" t="s">
        <v>162</v>
      </c>
      <c r="D71" s="103"/>
      <c r="E71" s="109"/>
      <c r="F71" s="109"/>
      <c r="G71" s="564" t="s">
        <v>163</v>
      </c>
      <c r="H71" s="572">
        <f>SUM(H58:H70)</f>
        <v>297.43199999999996</v>
      </c>
      <c r="I71" s="572">
        <f>SUM(I58:I70)</f>
        <v>342.80999999999995</v>
      </c>
      <c r="J71" s="572">
        <f>SUM(J58:J70)</f>
        <v>378.45699999999999</v>
      </c>
      <c r="K71" s="572">
        <f>SUM(K58:K70)</f>
        <v>320.48700000000002</v>
      </c>
      <c r="L71" s="572">
        <f>SUM(L58:L70)</f>
        <v>759.55</v>
      </c>
      <c r="M71" s="572">
        <v>1683</v>
      </c>
      <c r="N71" s="572">
        <f>SUM(N58:N70)</f>
        <v>0</v>
      </c>
      <c r="O71" s="572">
        <f>SUM(O58:O70)</f>
        <v>0</v>
      </c>
      <c r="P71" s="572">
        <f>SUM(P58:P70)</f>
        <v>0</v>
      </c>
      <c r="Q71" s="572">
        <f>SUM(Q58:Q70)</f>
        <v>-250</v>
      </c>
      <c r="R71" s="572">
        <f>SUM(R58:R70)</f>
        <v>-250</v>
      </c>
    </row>
    <row r="72" spans="2:18" x14ac:dyDescent="0.2">
      <c r="D72" s="103"/>
    </row>
    <row r="73" spans="2:18" x14ac:dyDescent="0.2">
      <c r="D73" s="136" t="s">
        <v>123</v>
      </c>
      <c r="E73" s="137" t="s">
        <v>3</v>
      </c>
      <c r="F73" s="104"/>
      <c r="G73" s="569" t="s">
        <v>164</v>
      </c>
      <c r="H73" s="579">
        <f t="shared" ref="H73:R73" si="16">H57</f>
        <v>2011</v>
      </c>
      <c r="I73" s="579">
        <f t="shared" si="16"/>
        <v>2012</v>
      </c>
      <c r="J73" s="579">
        <f t="shared" si="16"/>
        <v>2013</v>
      </c>
      <c r="K73" s="579">
        <f t="shared" si="16"/>
        <v>2014</v>
      </c>
      <c r="L73" s="579">
        <f t="shared" si="16"/>
        <v>2015</v>
      </c>
      <c r="M73" s="579">
        <f t="shared" si="16"/>
        <v>2016</v>
      </c>
      <c r="N73" s="579">
        <f t="shared" si="16"/>
        <v>2017</v>
      </c>
      <c r="O73" s="579">
        <f t="shared" si="16"/>
        <v>2018</v>
      </c>
      <c r="P73" s="579">
        <f t="shared" si="16"/>
        <v>2019</v>
      </c>
      <c r="Q73" s="579">
        <f t="shared" si="16"/>
        <v>2020</v>
      </c>
      <c r="R73" s="579">
        <f t="shared" si="16"/>
        <v>2021</v>
      </c>
    </row>
    <row r="74" spans="2:18" x14ac:dyDescent="0.2">
      <c r="B74" s="89" t="s">
        <v>165</v>
      </c>
      <c r="C74" s="103" t="s">
        <v>166</v>
      </c>
      <c r="D74" s="103" t="s">
        <v>131</v>
      </c>
      <c r="E74" s="597" t="s">
        <v>14</v>
      </c>
      <c r="G74" s="571" t="s">
        <v>167</v>
      </c>
      <c r="H74" s="576">
        <v>0</v>
      </c>
      <c r="I74" s="576">
        <v>0</v>
      </c>
      <c r="J74" s="576">
        <v>0</v>
      </c>
      <c r="K74" s="576">
        <v>0</v>
      </c>
      <c r="L74" s="576">
        <v>0</v>
      </c>
      <c r="M74" s="576">
        <v>0</v>
      </c>
      <c r="N74" s="576">
        <v>0</v>
      </c>
      <c r="O74" s="576">
        <v>0</v>
      </c>
      <c r="P74" s="576">
        <v>0</v>
      </c>
      <c r="Q74" s="576">
        <v>0</v>
      </c>
      <c r="R74" s="576">
        <v>0</v>
      </c>
    </row>
    <row r="75" spans="2:18" x14ac:dyDescent="0.2">
      <c r="B75" s="89" t="s">
        <v>168</v>
      </c>
      <c r="C75" s="103" t="s">
        <v>166</v>
      </c>
      <c r="D75" s="103" t="s">
        <v>127</v>
      </c>
      <c r="E75" s="597" t="s">
        <v>463</v>
      </c>
      <c r="F75" s="109"/>
      <c r="G75" s="105" t="s">
        <v>169</v>
      </c>
      <c r="H75" s="576">
        <v>0</v>
      </c>
      <c r="I75" s="576">
        <v>0</v>
      </c>
      <c r="J75" s="576">
        <v>0</v>
      </c>
      <c r="K75" s="576">
        <v>0</v>
      </c>
      <c r="L75" s="576">
        <v>0</v>
      </c>
      <c r="M75" s="576">
        <v>0</v>
      </c>
      <c r="N75" s="576">
        <v>0</v>
      </c>
      <c r="O75" s="576">
        <v>0</v>
      </c>
      <c r="P75" s="576">
        <v>0</v>
      </c>
      <c r="Q75" s="576">
        <v>0</v>
      </c>
      <c r="R75" s="576">
        <v>0</v>
      </c>
    </row>
    <row r="76" spans="2:18" x14ac:dyDescent="0.2">
      <c r="B76" s="89" t="s">
        <v>170</v>
      </c>
      <c r="C76" s="103" t="s">
        <v>171</v>
      </c>
      <c r="D76" s="103" t="s">
        <v>135</v>
      </c>
      <c r="E76" s="597" t="s">
        <v>14</v>
      </c>
      <c r="G76" s="105" t="s">
        <v>172</v>
      </c>
      <c r="H76" s="576">
        <v>0</v>
      </c>
      <c r="I76" s="576">
        <v>0</v>
      </c>
      <c r="J76" s="576">
        <v>0</v>
      </c>
      <c r="K76" s="576">
        <v>0</v>
      </c>
      <c r="L76" s="576">
        <v>0</v>
      </c>
      <c r="M76" s="576">
        <v>0</v>
      </c>
      <c r="N76" s="576">
        <v>0</v>
      </c>
      <c r="O76" s="576">
        <v>0</v>
      </c>
      <c r="P76" s="576">
        <v>0</v>
      </c>
      <c r="Q76" s="576">
        <v>0</v>
      </c>
      <c r="R76" s="576">
        <v>0</v>
      </c>
    </row>
    <row r="77" spans="2:18" x14ac:dyDescent="0.2">
      <c r="B77" s="89" t="s">
        <v>173</v>
      </c>
      <c r="C77" s="103" t="s">
        <v>171</v>
      </c>
      <c r="D77" s="103" t="s">
        <v>139</v>
      </c>
      <c r="E77" s="597" t="s">
        <v>463</v>
      </c>
      <c r="F77" s="109"/>
      <c r="G77" s="105" t="s">
        <v>174</v>
      </c>
      <c r="H77" s="576">
        <v>0</v>
      </c>
      <c r="I77" s="576">
        <v>-301.07799999999997</v>
      </c>
      <c r="J77" s="576">
        <v>-308.65300000000002</v>
      </c>
      <c r="K77" s="576">
        <v>-260.16500000000002</v>
      </c>
      <c r="L77" s="576">
        <v>0</v>
      </c>
      <c r="M77" s="576">
        <v>0</v>
      </c>
      <c r="N77" s="576">
        <v>0</v>
      </c>
      <c r="O77" s="576">
        <v>0</v>
      </c>
      <c r="P77" s="576">
        <v>0</v>
      </c>
      <c r="Q77" s="576">
        <v>0</v>
      </c>
      <c r="R77" s="576">
        <v>0</v>
      </c>
    </row>
    <row r="78" spans="2:18" x14ac:dyDescent="0.2">
      <c r="B78" s="89" t="s">
        <v>175</v>
      </c>
      <c r="C78" s="103" t="s">
        <v>176</v>
      </c>
      <c r="D78" s="103" t="s">
        <v>139</v>
      </c>
      <c r="E78" s="597" t="s">
        <v>463</v>
      </c>
      <c r="F78" s="109"/>
      <c r="G78" s="105" t="s">
        <v>177</v>
      </c>
      <c r="H78" s="576">
        <v>0</v>
      </c>
      <c r="I78" s="576">
        <v>0</v>
      </c>
      <c r="J78" s="576">
        <v>0</v>
      </c>
      <c r="K78" s="576">
        <v>0</v>
      </c>
      <c r="L78" s="576">
        <v>0</v>
      </c>
      <c r="M78" s="576">
        <v>0</v>
      </c>
      <c r="N78" s="576">
        <v>0</v>
      </c>
      <c r="O78" s="576">
        <v>0</v>
      </c>
      <c r="P78" s="576">
        <v>0</v>
      </c>
      <c r="Q78" s="576">
        <v>0</v>
      </c>
      <c r="R78" s="576">
        <v>0</v>
      </c>
    </row>
    <row r="79" spans="2:18" x14ac:dyDescent="0.2">
      <c r="B79" s="89" t="s">
        <v>178</v>
      </c>
      <c r="C79" s="103" t="s">
        <v>179</v>
      </c>
      <c r="D79" s="103" t="s">
        <v>139</v>
      </c>
      <c r="E79" s="597" t="s">
        <v>463</v>
      </c>
      <c r="F79" s="109"/>
      <c r="G79" s="105" t="s">
        <v>180</v>
      </c>
      <c r="H79" s="576">
        <v>-7.0000000000000007E-2</v>
      </c>
      <c r="I79" s="576">
        <v>-15.696999999999999</v>
      </c>
      <c r="J79" s="576">
        <v>-5.3419999999999996</v>
      </c>
      <c r="K79" s="576">
        <v>-1.526</v>
      </c>
      <c r="L79" s="576">
        <v>0</v>
      </c>
      <c r="M79" s="576">
        <v>0</v>
      </c>
      <c r="N79" s="576">
        <v>0</v>
      </c>
      <c r="O79" s="576">
        <v>0</v>
      </c>
      <c r="P79" s="576">
        <v>0</v>
      </c>
      <c r="Q79" s="576">
        <v>0</v>
      </c>
      <c r="R79" s="576">
        <v>0</v>
      </c>
    </row>
    <row r="80" spans="2:18" x14ac:dyDescent="0.2">
      <c r="B80" s="89" t="s">
        <v>181</v>
      </c>
      <c r="C80" s="103" t="s">
        <v>182</v>
      </c>
      <c r="D80" s="103" t="s">
        <v>139</v>
      </c>
      <c r="E80" s="597" t="s">
        <v>463</v>
      </c>
      <c r="F80" s="109"/>
      <c r="G80" s="105" t="s">
        <v>183</v>
      </c>
      <c r="H80" s="576">
        <v>0</v>
      </c>
      <c r="I80" s="576">
        <v>0</v>
      </c>
      <c r="J80" s="576">
        <v>0</v>
      </c>
      <c r="K80" s="576">
        <v>0</v>
      </c>
      <c r="L80" s="576">
        <v>0</v>
      </c>
      <c r="M80" s="576">
        <v>0</v>
      </c>
      <c r="N80" s="576">
        <v>0</v>
      </c>
      <c r="O80" s="576">
        <v>0</v>
      </c>
      <c r="P80" s="576">
        <v>0</v>
      </c>
      <c r="Q80" s="576">
        <v>0</v>
      </c>
      <c r="R80" s="576">
        <v>0</v>
      </c>
    </row>
    <row r="81" spans="1:18" x14ac:dyDescent="0.2">
      <c r="B81" s="89" t="s">
        <v>184</v>
      </c>
      <c r="C81" s="103" t="s">
        <v>55</v>
      </c>
      <c r="D81" s="103" t="s">
        <v>139</v>
      </c>
      <c r="E81" s="597" t="s">
        <v>463</v>
      </c>
      <c r="F81" s="109"/>
      <c r="G81" s="105" t="s">
        <v>185</v>
      </c>
      <c r="H81" s="576">
        <v>0</v>
      </c>
      <c r="I81" s="576">
        <v>0</v>
      </c>
      <c r="J81" s="576">
        <v>0</v>
      </c>
      <c r="K81" s="576">
        <v>0</v>
      </c>
      <c r="L81" s="576">
        <v>0</v>
      </c>
      <c r="M81" s="576">
        <v>0</v>
      </c>
      <c r="N81" s="576">
        <v>0</v>
      </c>
      <c r="O81" s="576">
        <v>0</v>
      </c>
      <c r="P81" s="576">
        <v>0</v>
      </c>
      <c r="Q81" s="576">
        <v>0</v>
      </c>
      <c r="R81" s="576">
        <v>0</v>
      </c>
    </row>
    <row r="82" spans="1:18" x14ac:dyDescent="0.2">
      <c r="B82" s="89" t="s">
        <v>186</v>
      </c>
      <c r="C82" s="103" t="s">
        <v>187</v>
      </c>
      <c r="D82" s="103" t="s">
        <v>135</v>
      </c>
      <c r="E82" s="597" t="s">
        <v>14</v>
      </c>
      <c r="G82" s="105" t="s">
        <v>188</v>
      </c>
      <c r="H82" s="576">
        <v>0</v>
      </c>
      <c r="I82" s="576">
        <v>0</v>
      </c>
      <c r="J82" s="576">
        <v>0</v>
      </c>
      <c r="K82" s="576">
        <v>0</v>
      </c>
      <c r="L82" s="576">
        <v>0</v>
      </c>
      <c r="M82" s="576">
        <v>0</v>
      </c>
      <c r="N82" s="576">
        <v>0</v>
      </c>
      <c r="O82" s="576">
        <v>0</v>
      </c>
      <c r="P82" s="576">
        <v>0</v>
      </c>
      <c r="Q82" s="576">
        <v>0</v>
      </c>
      <c r="R82" s="576">
        <v>0</v>
      </c>
    </row>
    <row r="83" spans="1:18" x14ac:dyDescent="0.2">
      <c r="B83" s="89" t="s">
        <v>189</v>
      </c>
      <c r="C83" s="103" t="s">
        <v>187</v>
      </c>
      <c r="D83" s="103" t="s">
        <v>139</v>
      </c>
      <c r="E83" s="597" t="s">
        <v>463</v>
      </c>
      <c r="F83" s="109"/>
      <c r="G83" s="105" t="s">
        <v>190</v>
      </c>
      <c r="H83" s="576">
        <v>0</v>
      </c>
      <c r="I83" s="576">
        <v>0</v>
      </c>
      <c r="J83" s="576">
        <v>0</v>
      </c>
      <c r="K83" s="576">
        <v>0</v>
      </c>
      <c r="L83" s="576">
        <v>0</v>
      </c>
      <c r="M83" s="576">
        <v>0</v>
      </c>
      <c r="N83" s="576">
        <v>0</v>
      </c>
      <c r="O83" s="576">
        <v>0</v>
      </c>
      <c r="P83" s="576">
        <v>0</v>
      </c>
      <c r="Q83" s="576">
        <v>0</v>
      </c>
      <c r="R83" s="576">
        <v>0</v>
      </c>
    </row>
    <row r="84" spans="1:18" x14ac:dyDescent="0.2">
      <c r="B84" s="89" t="s">
        <v>191</v>
      </c>
      <c r="C84" s="106">
        <v>68</v>
      </c>
      <c r="D84" s="103" t="s">
        <v>139</v>
      </c>
      <c r="E84" s="597" t="s">
        <v>463</v>
      </c>
      <c r="F84" s="109"/>
      <c r="G84" s="143" t="s">
        <v>114</v>
      </c>
      <c r="H84" s="576">
        <v>0</v>
      </c>
      <c r="I84" s="576">
        <v>0</v>
      </c>
      <c r="J84" s="576">
        <v>0</v>
      </c>
      <c r="K84" s="576">
        <v>0</v>
      </c>
      <c r="L84" s="576">
        <v>0</v>
      </c>
      <c r="M84" s="576">
        <v>0</v>
      </c>
      <c r="N84" s="576">
        <v>0</v>
      </c>
      <c r="O84" s="576">
        <v>0</v>
      </c>
      <c r="P84" s="576">
        <v>0</v>
      </c>
      <c r="Q84" s="576">
        <v>0</v>
      </c>
      <c r="R84" s="576">
        <v>0</v>
      </c>
    </row>
    <row r="85" spans="1:18" x14ac:dyDescent="0.2">
      <c r="B85" s="89" t="s">
        <v>192</v>
      </c>
      <c r="G85" s="143" t="s">
        <v>163</v>
      </c>
      <c r="H85" s="572">
        <f t="shared" ref="H85:R85" si="17">SUM(H74:H84)</f>
        <v>-7.0000000000000007E-2</v>
      </c>
      <c r="I85" s="572">
        <f t="shared" si="17"/>
        <v>-316.77499999999998</v>
      </c>
      <c r="J85" s="572">
        <f t="shared" si="17"/>
        <v>-313.995</v>
      </c>
      <c r="K85" s="572">
        <f t="shared" si="17"/>
        <v>-261.69100000000003</v>
      </c>
      <c r="L85" s="572">
        <f t="shared" si="17"/>
        <v>0</v>
      </c>
      <c r="M85" s="572">
        <f t="shared" si="17"/>
        <v>0</v>
      </c>
      <c r="N85" s="572">
        <f t="shared" si="17"/>
        <v>0</v>
      </c>
      <c r="O85" s="572">
        <f t="shared" si="17"/>
        <v>0</v>
      </c>
      <c r="P85" s="572">
        <f t="shared" si="17"/>
        <v>0</v>
      </c>
      <c r="Q85" s="572">
        <f t="shared" si="17"/>
        <v>0</v>
      </c>
      <c r="R85" s="572">
        <f t="shared" si="17"/>
        <v>0</v>
      </c>
    </row>
    <row r="87" spans="1:18" x14ac:dyDescent="0.2">
      <c r="A87" s="110" t="s">
        <v>0</v>
      </c>
      <c r="D87" s="1298" t="s">
        <v>193</v>
      </c>
      <c r="E87" s="1298"/>
      <c r="G87" s="569" t="s">
        <v>194</v>
      </c>
      <c r="H87" s="579">
        <f t="shared" ref="H87:R87" si="18">H32</f>
        <v>2011</v>
      </c>
      <c r="I87" s="579">
        <f t="shared" si="18"/>
        <v>2012</v>
      </c>
      <c r="J87" s="579">
        <f t="shared" si="18"/>
        <v>2013</v>
      </c>
      <c r="K87" s="579">
        <f t="shared" si="18"/>
        <v>2014</v>
      </c>
      <c r="L87" s="579">
        <f t="shared" si="18"/>
        <v>2015</v>
      </c>
      <c r="M87" s="579">
        <f t="shared" si="18"/>
        <v>2016</v>
      </c>
      <c r="N87" s="579">
        <f t="shared" si="18"/>
        <v>2017</v>
      </c>
      <c r="O87" s="579">
        <f t="shared" si="18"/>
        <v>2018</v>
      </c>
      <c r="P87" s="579">
        <f t="shared" si="18"/>
        <v>2019</v>
      </c>
      <c r="Q87" s="579">
        <f t="shared" si="18"/>
        <v>2020</v>
      </c>
      <c r="R87" s="579">
        <f t="shared" si="18"/>
        <v>2021</v>
      </c>
    </row>
    <row r="88" spans="1:18" x14ac:dyDescent="0.2">
      <c r="A88" s="103" t="s">
        <v>195</v>
      </c>
      <c r="B88" s="89" t="s">
        <v>196</v>
      </c>
      <c r="C88" s="103" t="s">
        <v>197</v>
      </c>
      <c r="E88" s="581"/>
      <c r="G88" s="571" t="s">
        <v>198</v>
      </c>
      <c r="H88" s="572">
        <f t="shared" ref="H88:R88" si="19">H46+H71</f>
        <v>273.41700000000009</v>
      </c>
      <c r="I88" s="572">
        <f t="shared" si="19"/>
        <v>595.1239999999998</v>
      </c>
      <c r="J88" s="572">
        <f t="shared" si="19"/>
        <v>263.42099999999948</v>
      </c>
      <c r="K88" s="572">
        <f t="shared" si="19"/>
        <v>373.33200000000028</v>
      </c>
      <c r="L88" s="572">
        <f t="shared" si="19"/>
        <v>1327.9930000000002</v>
      </c>
      <c r="M88" s="572">
        <f t="shared" si="19"/>
        <v>3551.02547</v>
      </c>
      <c r="N88" s="572">
        <f t="shared" si="19"/>
        <v>-0.32540999999991982</v>
      </c>
      <c r="O88" s="572">
        <f t="shared" si="19"/>
        <v>-0.4876099999996768</v>
      </c>
      <c r="P88" s="572">
        <f t="shared" si="19"/>
        <v>0.1163499999997839</v>
      </c>
      <c r="Q88" s="572">
        <f t="shared" si="19"/>
        <v>-249.57366823999973</v>
      </c>
      <c r="R88" s="572">
        <f t="shared" si="19"/>
        <v>-250.41762747071971</v>
      </c>
    </row>
    <row r="89" spans="1:18" x14ac:dyDescent="0.2">
      <c r="A89" s="103" t="s">
        <v>199</v>
      </c>
      <c r="B89" s="89" t="s">
        <v>200</v>
      </c>
      <c r="C89" s="103" t="s">
        <v>201</v>
      </c>
      <c r="E89" s="581"/>
      <c r="G89" s="571" t="s">
        <v>202</v>
      </c>
      <c r="H89" s="582">
        <f t="shared" ref="H89:R89" si="20">H33+H38+H41-H45</f>
        <v>99.088000000000122</v>
      </c>
      <c r="I89" s="572">
        <f t="shared" si="20"/>
        <v>385.97499999999985</v>
      </c>
      <c r="J89" s="572">
        <f t="shared" si="20"/>
        <v>32.282999999999475</v>
      </c>
      <c r="K89" s="572">
        <f t="shared" si="20"/>
        <v>205.84500000000025</v>
      </c>
      <c r="L89" s="572">
        <f t="shared" si="20"/>
        <v>717.39300000000026</v>
      </c>
      <c r="M89" s="572">
        <f t="shared" si="20"/>
        <v>2058.85088</v>
      </c>
      <c r="N89" s="572">
        <f t="shared" si="20"/>
        <v>230.50000000000009</v>
      </c>
      <c r="O89" s="572">
        <f t="shared" si="20"/>
        <v>237.80180000000033</v>
      </c>
      <c r="P89" s="572">
        <f t="shared" si="20"/>
        <v>238.40575999999979</v>
      </c>
      <c r="Q89" s="572">
        <f t="shared" si="20"/>
        <v>243.71574176000027</v>
      </c>
      <c r="R89" s="572">
        <f t="shared" si="20"/>
        <v>243.8717825292803</v>
      </c>
    </row>
    <row r="90" spans="1:18" x14ac:dyDescent="0.2">
      <c r="A90" s="103" t="s">
        <v>203</v>
      </c>
      <c r="B90" s="89" t="s">
        <v>204</v>
      </c>
      <c r="C90" s="103" t="s">
        <v>205</v>
      </c>
      <c r="E90" s="583">
        <v>0</v>
      </c>
      <c r="G90" s="143" t="s">
        <v>206</v>
      </c>
      <c r="H90" s="584">
        <f t="shared" ref="H90:R90" si="21">H89/H33</f>
        <v>5.7308532486768642E-2</v>
      </c>
      <c r="I90" s="585">
        <f t="shared" si="21"/>
        <v>0.16458000385466212</v>
      </c>
      <c r="J90" s="585">
        <f t="shared" si="21"/>
        <v>1.5997990030431751E-2</v>
      </c>
      <c r="K90" s="585">
        <f t="shared" si="21"/>
        <v>8.7641204330521694E-2</v>
      </c>
      <c r="L90" s="585">
        <f t="shared" si="21"/>
        <v>0.25740965995328269</v>
      </c>
      <c r="M90" s="585">
        <f t="shared" si="21"/>
        <v>0.4276450762530819</v>
      </c>
      <c r="N90" s="585">
        <f t="shared" si="21"/>
        <v>9.3756355501321983E-2</v>
      </c>
      <c r="O90" s="585">
        <f t="shared" si="21"/>
        <v>6.2062667682767775E-2</v>
      </c>
      <c r="P90" s="585">
        <f t="shared" si="21"/>
        <v>6.3574904596213691E-2</v>
      </c>
      <c r="Q90" s="585">
        <f t="shared" si="21"/>
        <v>6.5686938237936462E-2</v>
      </c>
      <c r="R90" s="585">
        <f t="shared" si="21"/>
        <v>6.5111352207457493E-2</v>
      </c>
    </row>
    <row r="91" spans="1:18" x14ac:dyDescent="0.2">
      <c r="A91" s="103" t="s">
        <v>207</v>
      </c>
      <c r="B91" s="89" t="s">
        <v>208</v>
      </c>
      <c r="C91" s="103" t="s">
        <v>209</v>
      </c>
      <c r="E91" s="581"/>
      <c r="G91" s="105" t="s">
        <v>210</v>
      </c>
      <c r="H91" s="586">
        <f t="shared" ref="H91:R91" si="22">-H33/(H38+H41)</f>
        <v>0.98630095571013132</v>
      </c>
      <c r="I91" s="586">
        <f t="shared" si="22"/>
        <v>1.1205572369030883</v>
      </c>
      <c r="J91" s="586">
        <f t="shared" si="22"/>
        <v>0.94606786664835085</v>
      </c>
      <c r="K91" s="586">
        <f t="shared" si="22"/>
        <v>1.0230173280037842</v>
      </c>
      <c r="L91" s="586">
        <f t="shared" si="22"/>
        <v>1.2562254144303857</v>
      </c>
      <c r="M91" s="586">
        <f t="shared" si="22"/>
        <v>1.634009950636923</v>
      </c>
      <c r="N91" s="586">
        <f t="shared" si="22"/>
        <v>0.99986765632131647</v>
      </c>
      <c r="O91" s="586">
        <f t="shared" si="22"/>
        <v>0.99987275736884984</v>
      </c>
      <c r="P91" s="586">
        <f t="shared" si="22"/>
        <v>1.0000310276465612</v>
      </c>
      <c r="Q91" s="586">
        <f t="shared" si="22"/>
        <v>1.0001149193155741</v>
      </c>
      <c r="R91" s="586">
        <f t="shared" si="22"/>
        <v>0.99988851003019685</v>
      </c>
    </row>
    <row r="92" spans="1:18" x14ac:dyDescent="0.2">
      <c r="A92" s="103" t="s">
        <v>211</v>
      </c>
      <c r="B92" s="89" t="s">
        <v>212</v>
      </c>
      <c r="C92" s="103" t="s">
        <v>213</v>
      </c>
      <c r="E92" s="581"/>
      <c r="G92" s="571" t="s">
        <v>214</v>
      </c>
      <c r="H92" s="582">
        <f t="shared" ref="H92:R92" si="23">H46</f>
        <v>-24.014999999999873</v>
      </c>
      <c r="I92" s="582">
        <f t="shared" si="23"/>
        <v>252.31399999999985</v>
      </c>
      <c r="J92" s="582">
        <f t="shared" si="23"/>
        <v>-115.03600000000051</v>
      </c>
      <c r="K92" s="582">
        <f t="shared" si="23"/>
        <v>52.845000000000255</v>
      </c>
      <c r="L92" s="582">
        <f t="shared" si="23"/>
        <v>568.44300000000021</v>
      </c>
      <c r="M92" s="582">
        <f t="shared" si="23"/>
        <v>1868.02547</v>
      </c>
      <c r="N92" s="582">
        <f t="shared" si="23"/>
        <v>-0.32540999999991982</v>
      </c>
      <c r="O92" s="582">
        <f t="shared" si="23"/>
        <v>-0.4876099999996768</v>
      </c>
      <c r="P92" s="582">
        <f t="shared" si="23"/>
        <v>0.1163499999997839</v>
      </c>
      <c r="Q92" s="582">
        <f t="shared" si="23"/>
        <v>0.42633176000026651</v>
      </c>
      <c r="R92" s="582">
        <f t="shared" si="23"/>
        <v>-0.41762747071970807</v>
      </c>
    </row>
    <row r="93" spans="1:18" x14ac:dyDescent="0.2">
      <c r="A93" s="103" t="s">
        <v>215</v>
      </c>
      <c r="B93" s="89" t="s">
        <v>216</v>
      </c>
      <c r="C93" s="103" t="s">
        <v>217</v>
      </c>
      <c r="D93" s="583">
        <v>-0.30000000000000004</v>
      </c>
      <c r="E93" s="583">
        <v>0</v>
      </c>
      <c r="G93" s="105" t="s">
        <v>218</v>
      </c>
      <c r="H93" s="587">
        <f t="shared" ref="H93:R93" si="24">H46/H33</f>
        <v>-1.3889314626087315E-2</v>
      </c>
      <c r="I93" s="588">
        <f t="shared" si="24"/>
        <v>0.10758686208325723</v>
      </c>
      <c r="J93" s="588">
        <f t="shared" si="24"/>
        <v>-5.7006622096483751E-2</v>
      </c>
      <c r="K93" s="588">
        <f t="shared" si="24"/>
        <v>2.2499450765607304E-2</v>
      </c>
      <c r="L93" s="588">
        <f t="shared" si="24"/>
        <v>0.20396452060840276</v>
      </c>
      <c r="M93" s="588">
        <f t="shared" si="24"/>
        <v>0.38800862282986187</v>
      </c>
      <c r="N93" s="588">
        <f t="shared" si="24"/>
        <v>-1.3236119585109611E-4</v>
      </c>
      <c r="O93" s="588">
        <f t="shared" si="24"/>
        <v>-1.272588238977766E-4</v>
      </c>
      <c r="P93" s="588">
        <f t="shared" si="24"/>
        <v>3.1026683876076364E-5</v>
      </c>
      <c r="Q93" s="588">
        <f t="shared" si="24"/>
        <v>1.1490611064256034E-4</v>
      </c>
      <c r="R93" s="588">
        <f t="shared" si="24"/>
        <v>-1.1150240120246683E-4</v>
      </c>
    </row>
    <row r="94" spans="1:18" x14ac:dyDescent="0.2">
      <c r="A94" s="103" t="s">
        <v>219</v>
      </c>
      <c r="B94" s="89" t="s">
        <v>220</v>
      </c>
      <c r="C94" s="103" t="s">
        <v>221</v>
      </c>
      <c r="E94" s="581"/>
      <c r="G94" s="143" t="s">
        <v>222</v>
      </c>
      <c r="H94" s="582">
        <f t="shared" ref="H94:R94" si="25">H29+H30</f>
        <v>2644.7710000000002</v>
      </c>
      <c r="I94" s="582">
        <f t="shared" si="25"/>
        <v>2882.0210000000002</v>
      </c>
      <c r="J94" s="582">
        <f t="shared" si="25"/>
        <v>2762.0880000000002</v>
      </c>
      <c r="K94" s="582">
        <f t="shared" si="25"/>
        <v>2813.7420000000002</v>
      </c>
      <c r="L94" s="582">
        <f t="shared" si="25"/>
        <v>3384.8890000000001</v>
      </c>
      <c r="M94" s="582">
        <f t="shared" si="25"/>
        <v>5254.2536600000003</v>
      </c>
      <c r="N94" s="582">
        <f t="shared" si="25"/>
        <v>5254.2536600000003</v>
      </c>
      <c r="O94" s="582">
        <f t="shared" si="25"/>
        <v>5356.2536600000003</v>
      </c>
      <c r="P94" s="582">
        <f t="shared" si="25"/>
        <v>5458.2536600000003</v>
      </c>
      <c r="Q94" s="582">
        <f t="shared" si="25"/>
        <v>5458.2536600000003</v>
      </c>
      <c r="R94" s="582">
        <f t="shared" si="25"/>
        <v>5457.2536600000003</v>
      </c>
    </row>
    <row r="95" spans="1:18" x14ac:dyDescent="0.2">
      <c r="G95" s="152" t="s">
        <v>223</v>
      </c>
      <c r="H95" s="579">
        <f t="shared" ref="H95:R95" si="26">H87</f>
        <v>2011</v>
      </c>
      <c r="I95" s="579">
        <f t="shared" si="26"/>
        <v>2012</v>
      </c>
      <c r="J95" s="579">
        <f t="shared" si="26"/>
        <v>2013</v>
      </c>
      <c r="K95" s="579">
        <f t="shared" si="26"/>
        <v>2014</v>
      </c>
      <c r="L95" s="579">
        <f t="shared" si="26"/>
        <v>2015</v>
      </c>
      <c r="M95" s="579">
        <f t="shared" si="26"/>
        <v>2016</v>
      </c>
      <c r="N95" s="579">
        <f t="shared" si="26"/>
        <v>2017</v>
      </c>
      <c r="O95" s="579">
        <f t="shared" si="26"/>
        <v>2018</v>
      </c>
      <c r="P95" s="579">
        <f t="shared" si="26"/>
        <v>2019</v>
      </c>
      <c r="Q95" s="579">
        <f t="shared" si="26"/>
        <v>2020</v>
      </c>
      <c r="R95" s="579">
        <f t="shared" si="26"/>
        <v>2021</v>
      </c>
    </row>
    <row r="96" spans="1:18" x14ac:dyDescent="0.2">
      <c r="A96" s="103" t="s">
        <v>224</v>
      </c>
      <c r="B96" s="89" t="s">
        <v>225</v>
      </c>
      <c r="C96" s="106" t="s">
        <v>226</v>
      </c>
      <c r="E96" s="581"/>
      <c r="F96" s="153"/>
      <c r="G96" s="571" t="s">
        <v>227</v>
      </c>
      <c r="H96" s="582">
        <f>H6+H12</f>
        <v>492.00099999999998</v>
      </c>
      <c r="I96" s="572">
        <f>I6+D12</f>
        <v>640.46799999999996</v>
      </c>
      <c r="J96" s="572">
        <f t="shared" ref="J96:R96" si="27">J6+J12</f>
        <v>589.98900000000003</v>
      </c>
      <c r="K96" s="572">
        <f t="shared" si="27"/>
        <v>722.06700000000001</v>
      </c>
      <c r="L96" s="572">
        <f t="shared" si="27"/>
        <v>2025.6690000000001</v>
      </c>
      <c r="M96" s="572">
        <f t="shared" si="27"/>
        <v>1425.2511400000001</v>
      </c>
      <c r="N96" s="572">
        <f t="shared" si="27"/>
        <v>1198</v>
      </c>
      <c r="O96" s="572">
        <f t="shared" si="27"/>
        <v>1233</v>
      </c>
      <c r="P96" s="572">
        <f t="shared" si="27"/>
        <v>1369</v>
      </c>
      <c r="Q96" s="572">
        <f t="shared" si="27"/>
        <v>1214</v>
      </c>
      <c r="R96" s="572">
        <f t="shared" si="27"/>
        <v>1207</v>
      </c>
    </row>
    <row r="97" spans="1:18" x14ac:dyDescent="0.2">
      <c r="A97" s="103" t="s">
        <v>228</v>
      </c>
      <c r="B97" s="89" t="s">
        <v>229</v>
      </c>
      <c r="C97" s="103" t="s">
        <v>45</v>
      </c>
      <c r="E97" s="581"/>
      <c r="F97" s="153"/>
      <c r="G97" s="105" t="s">
        <v>230</v>
      </c>
      <c r="H97" s="582">
        <f t="shared" ref="H97:R97" si="28">H19</f>
        <v>1127.4949999999999</v>
      </c>
      <c r="I97" s="582">
        <f t="shared" si="28"/>
        <v>867.88499999999999</v>
      </c>
      <c r="J97" s="582">
        <f t="shared" si="28"/>
        <v>551.5</v>
      </c>
      <c r="K97" s="582">
        <f t="shared" si="28"/>
        <v>334.11200000000002</v>
      </c>
      <c r="L97" s="582">
        <f t="shared" si="28"/>
        <v>1296.367</v>
      </c>
      <c r="M97" s="582">
        <f t="shared" si="28"/>
        <v>338.14657999999997</v>
      </c>
      <c r="N97" s="582">
        <f t="shared" si="28"/>
        <v>338.14657999999997</v>
      </c>
      <c r="O97" s="582">
        <f t="shared" si="28"/>
        <v>338.14657999999997</v>
      </c>
      <c r="P97" s="582">
        <f t="shared" si="28"/>
        <v>338.14657999999997</v>
      </c>
      <c r="Q97" s="582">
        <f t="shared" si="28"/>
        <v>338.14657999999997</v>
      </c>
      <c r="R97" s="582">
        <f t="shared" si="28"/>
        <v>338.14657999999997</v>
      </c>
    </row>
    <row r="98" spans="1:18" x14ac:dyDescent="0.2">
      <c r="A98" s="103" t="s">
        <v>231</v>
      </c>
      <c r="B98" s="89" t="s">
        <v>232</v>
      </c>
      <c r="C98" s="103" t="s">
        <v>233</v>
      </c>
      <c r="E98" s="581"/>
      <c r="F98" s="153"/>
      <c r="G98" s="105" t="s">
        <v>234</v>
      </c>
      <c r="H98" s="582">
        <f t="shared" ref="H98:R98" si="29">H97-H96</f>
        <v>635.49399999999991</v>
      </c>
      <c r="I98" s="572">
        <f t="shared" si="29"/>
        <v>227.41700000000003</v>
      </c>
      <c r="J98" s="572">
        <f t="shared" si="29"/>
        <v>-38.489000000000033</v>
      </c>
      <c r="K98" s="572">
        <f t="shared" si="29"/>
        <v>-387.95499999999998</v>
      </c>
      <c r="L98" s="572">
        <f t="shared" si="29"/>
        <v>-729.30200000000013</v>
      </c>
      <c r="M98" s="572">
        <f t="shared" si="29"/>
        <v>-1087.1045600000002</v>
      </c>
      <c r="N98" s="572">
        <f t="shared" si="29"/>
        <v>-859.85342000000003</v>
      </c>
      <c r="O98" s="572">
        <f t="shared" si="29"/>
        <v>-894.85342000000003</v>
      </c>
      <c r="P98" s="572">
        <f t="shared" si="29"/>
        <v>-1030.8534199999999</v>
      </c>
      <c r="Q98" s="572">
        <f t="shared" si="29"/>
        <v>-875.85342000000003</v>
      </c>
      <c r="R98" s="572">
        <f t="shared" si="29"/>
        <v>-868.85342000000003</v>
      </c>
    </row>
    <row r="99" spans="1:18" x14ac:dyDescent="0.2">
      <c r="A99" s="103" t="s">
        <v>235</v>
      </c>
      <c r="B99" s="89" t="s">
        <v>236</v>
      </c>
      <c r="C99" s="103" t="s">
        <v>237</v>
      </c>
      <c r="E99" s="583">
        <v>0.4</v>
      </c>
      <c r="F99" s="153"/>
      <c r="G99" s="105" t="s">
        <v>238</v>
      </c>
      <c r="H99" s="589">
        <f t="shared" ref="H99:R99" si="30">H98/H33</f>
        <v>0.36754428936043215</v>
      </c>
      <c r="I99" s="585">
        <f t="shared" si="30"/>
        <v>9.6970764263529283E-2</v>
      </c>
      <c r="J99" s="585">
        <f t="shared" si="30"/>
        <v>-1.907340204693796E-2</v>
      </c>
      <c r="K99" s="585">
        <f t="shared" si="30"/>
        <v>-0.16517692159657754</v>
      </c>
      <c r="L99" s="585">
        <f t="shared" si="30"/>
        <v>-0.26168275941255204</v>
      </c>
      <c r="M99" s="585">
        <f t="shared" si="30"/>
        <v>-0.22580310063848488</v>
      </c>
      <c r="N99" s="585">
        <f t="shared" si="30"/>
        <v>-0.34974717103925157</v>
      </c>
      <c r="O99" s="585">
        <f t="shared" si="30"/>
        <v>-0.23354318777338162</v>
      </c>
      <c r="P99" s="585">
        <f t="shared" si="30"/>
        <v>-0.27489439780809266</v>
      </c>
      <c r="Q99" s="585">
        <f t="shared" si="30"/>
        <v>-0.23606242702894564</v>
      </c>
      <c r="R99" s="585">
        <f t="shared" si="30"/>
        <v>-0.23197526363871837</v>
      </c>
    </row>
    <row r="100" spans="1:18" x14ac:dyDescent="0.2">
      <c r="A100" s="103" t="s">
        <v>239</v>
      </c>
      <c r="B100" s="89" t="s">
        <v>240</v>
      </c>
      <c r="C100" s="103" t="s">
        <v>241</v>
      </c>
      <c r="D100" s="590">
        <v>0</v>
      </c>
      <c r="E100" s="590">
        <v>5</v>
      </c>
      <c r="F100" s="153"/>
      <c r="G100" s="105" t="s">
        <v>242</v>
      </c>
      <c r="H100" s="586">
        <f t="shared" ref="H100:R100" si="31">H98/H89</f>
        <v>6.4134304860326088</v>
      </c>
      <c r="I100" s="586">
        <f t="shared" si="31"/>
        <v>0.58920137314592946</v>
      </c>
      <c r="J100" s="586">
        <f t="shared" si="31"/>
        <v>-1.192237400489442</v>
      </c>
      <c r="K100" s="586">
        <f t="shared" si="31"/>
        <v>-1.8846947946270227</v>
      </c>
      <c r="L100" s="586">
        <f t="shared" si="31"/>
        <v>-1.0166003850051504</v>
      </c>
      <c r="M100" s="586">
        <f t="shared" si="31"/>
        <v>-0.52801520040149785</v>
      </c>
      <c r="N100" s="586">
        <f t="shared" si="31"/>
        <v>-3.7303836008676776</v>
      </c>
      <c r="O100" s="586">
        <f t="shared" si="31"/>
        <v>-3.7630220629112094</v>
      </c>
      <c r="P100" s="586">
        <f t="shared" si="31"/>
        <v>-4.3239451093799115</v>
      </c>
      <c r="Q100" s="586">
        <f t="shared" si="31"/>
        <v>-3.5937498894203519</v>
      </c>
      <c r="R100" s="586">
        <f t="shared" si="31"/>
        <v>-3.5627468294560964</v>
      </c>
    </row>
    <row r="101" spans="1:18" x14ac:dyDescent="0.2">
      <c r="A101" s="103" t="s">
        <v>243</v>
      </c>
      <c r="B101" s="89" t="s">
        <v>244</v>
      </c>
      <c r="C101" s="103" t="s">
        <v>245</v>
      </c>
      <c r="E101" s="581"/>
      <c r="F101" s="153"/>
      <c r="G101" s="105" t="s">
        <v>246</v>
      </c>
      <c r="H101" s="582">
        <f t="shared" ref="H101:R101" si="32">-(H75+H77+H78+H79+H80+H81)</f>
        <v>7.0000000000000007E-2</v>
      </c>
      <c r="I101" s="582">
        <f t="shared" si="32"/>
        <v>316.77499999999998</v>
      </c>
      <c r="J101" s="582">
        <f t="shared" si="32"/>
        <v>313.995</v>
      </c>
      <c r="K101" s="582">
        <f t="shared" si="32"/>
        <v>261.69100000000003</v>
      </c>
      <c r="L101" s="582">
        <f t="shared" si="32"/>
        <v>0</v>
      </c>
      <c r="M101" s="582">
        <f t="shared" si="32"/>
        <v>0</v>
      </c>
      <c r="N101" s="582">
        <f t="shared" si="32"/>
        <v>0</v>
      </c>
      <c r="O101" s="582">
        <f t="shared" si="32"/>
        <v>0</v>
      </c>
      <c r="P101" s="582">
        <f t="shared" si="32"/>
        <v>0</v>
      </c>
      <c r="Q101" s="582">
        <f t="shared" si="32"/>
        <v>0</v>
      </c>
      <c r="R101" s="582">
        <f t="shared" si="32"/>
        <v>0</v>
      </c>
    </row>
    <row r="102" spans="1:18" x14ac:dyDescent="0.2">
      <c r="A102" s="103" t="s">
        <v>247</v>
      </c>
      <c r="B102" s="89" t="s">
        <v>248</v>
      </c>
      <c r="C102" s="103" t="s">
        <v>249</v>
      </c>
      <c r="E102" s="590">
        <v>1.2</v>
      </c>
      <c r="F102" s="153"/>
      <c r="G102" s="105" t="s">
        <v>250</v>
      </c>
      <c r="H102" s="591">
        <f t="shared" ref="H102:R102" si="33">H89/H101</f>
        <v>1415.5428571428588</v>
      </c>
      <c r="I102" s="586">
        <f t="shared" si="33"/>
        <v>1.218451582353405</v>
      </c>
      <c r="J102" s="586">
        <f t="shared" si="33"/>
        <v>0.10281373907227655</v>
      </c>
      <c r="K102" s="586">
        <f t="shared" si="33"/>
        <v>0.78659564142442895</v>
      </c>
      <c r="L102" s="586" t="e">
        <f t="shared" si="33"/>
        <v>#DIV/0!</v>
      </c>
      <c r="M102" s="586" t="e">
        <f t="shared" si="33"/>
        <v>#DIV/0!</v>
      </c>
      <c r="N102" s="586" t="e">
        <f t="shared" si="33"/>
        <v>#DIV/0!</v>
      </c>
      <c r="O102" s="586" t="e">
        <f t="shared" si="33"/>
        <v>#DIV/0!</v>
      </c>
      <c r="P102" s="586" t="e">
        <f t="shared" si="33"/>
        <v>#DIV/0!</v>
      </c>
      <c r="Q102" s="586" t="e">
        <f t="shared" si="33"/>
        <v>#DIV/0!</v>
      </c>
      <c r="R102" s="586" t="e">
        <f t="shared" si="33"/>
        <v>#DIV/0!</v>
      </c>
    </row>
    <row r="103" spans="1:18" x14ac:dyDescent="0.2">
      <c r="A103" s="157" t="s">
        <v>251</v>
      </c>
      <c r="B103" s="89" t="s">
        <v>252</v>
      </c>
      <c r="C103" s="103" t="s">
        <v>253</v>
      </c>
      <c r="E103" s="590">
        <v>0</v>
      </c>
      <c r="F103" s="153"/>
      <c r="G103" s="571" t="s">
        <v>254</v>
      </c>
      <c r="H103" s="582">
        <f t="shared" ref="H103:R103" si="34">H5-H20</f>
        <v>301.76400000000001</v>
      </c>
      <c r="I103" s="582">
        <f t="shared" si="34"/>
        <v>419.92199999999991</v>
      </c>
      <c r="J103" s="582">
        <f t="shared" si="34"/>
        <v>363.149</v>
      </c>
      <c r="K103" s="582">
        <f t="shared" si="34"/>
        <v>464.60499999999996</v>
      </c>
      <c r="L103" s="582">
        <f t="shared" si="34"/>
        <v>852.66500000000019</v>
      </c>
      <c r="M103" s="582">
        <f t="shared" si="34"/>
        <v>1200.0353500000001</v>
      </c>
      <c r="N103" s="582">
        <f t="shared" si="34"/>
        <v>968.99562000000003</v>
      </c>
      <c r="O103" s="582">
        <f t="shared" si="34"/>
        <v>1003.99562</v>
      </c>
      <c r="P103" s="582">
        <f t="shared" si="34"/>
        <v>1139.9956200000001</v>
      </c>
      <c r="Q103" s="582">
        <f t="shared" si="34"/>
        <v>984.99562000000003</v>
      </c>
      <c r="R103" s="582">
        <f t="shared" si="34"/>
        <v>977.99562000000003</v>
      </c>
    </row>
    <row r="104" spans="1:18" x14ac:dyDescent="0.2">
      <c r="A104" s="103" t="s">
        <v>255</v>
      </c>
      <c r="B104" s="89" t="s">
        <v>256</v>
      </c>
      <c r="C104" s="103" t="s">
        <v>257</v>
      </c>
      <c r="E104" s="590">
        <v>1</v>
      </c>
      <c r="F104" s="153"/>
      <c r="G104" s="105" t="s">
        <v>258</v>
      </c>
      <c r="H104" s="591">
        <f t="shared" ref="H104:R104" si="35">H5/H20</f>
        <v>1.5422952716921523</v>
      </c>
      <c r="I104" s="591">
        <f t="shared" si="35"/>
        <v>1.6910282929911777</v>
      </c>
      <c r="J104" s="591">
        <f t="shared" si="35"/>
        <v>1.6584750679963736</v>
      </c>
      <c r="K104" s="591">
        <f t="shared" si="35"/>
        <v>2.3905666363375153</v>
      </c>
      <c r="L104" s="591">
        <f t="shared" si="35"/>
        <v>1.6577342681509173</v>
      </c>
      <c r="M104" s="591">
        <f t="shared" si="35"/>
        <v>4.5488614138874333</v>
      </c>
      <c r="N104" s="591">
        <f t="shared" si="35"/>
        <v>3.8656082223277259</v>
      </c>
      <c r="O104" s="591">
        <f t="shared" si="35"/>
        <v>3.9691136311359414</v>
      </c>
      <c r="P104" s="591">
        <f t="shared" si="35"/>
        <v>4.3713060767907219</v>
      </c>
      <c r="Q104" s="591">
        <f t="shared" si="35"/>
        <v>3.912924980640053</v>
      </c>
      <c r="R104" s="591">
        <f t="shared" si="35"/>
        <v>3.8922238988784099</v>
      </c>
    </row>
    <row r="105" spans="1:18" x14ac:dyDescent="0.2">
      <c r="A105" s="103" t="s">
        <v>259</v>
      </c>
      <c r="B105" s="89" t="s">
        <v>260</v>
      </c>
      <c r="C105" s="103" t="s">
        <v>261</v>
      </c>
      <c r="E105" s="590">
        <v>1</v>
      </c>
      <c r="F105" s="153"/>
      <c r="G105" s="143" t="s">
        <v>262</v>
      </c>
      <c r="H105" s="591">
        <f t="shared" ref="H105:R105" si="36">-H6/((H38+H41-H45+H47)/12)</f>
        <v>3.5691256748015645</v>
      </c>
      <c r="I105" s="591">
        <f t="shared" si="36"/>
        <v>3.8928289050149893</v>
      </c>
      <c r="J105" s="591">
        <f t="shared" si="36"/>
        <v>3.5567306605444209</v>
      </c>
      <c r="K105" s="591">
        <f t="shared" si="36"/>
        <v>4.0412878310876046</v>
      </c>
      <c r="L105" s="591">
        <f t="shared" si="36"/>
        <v>11.760774851672069</v>
      </c>
      <c r="M105" s="591">
        <f t="shared" si="36"/>
        <v>6.2097907222685587</v>
      </c>
      <c r="N105" s="591">
        <f t="shared" si="36"/>
        <v>6.4524236983842016</v>
      </c>
      <c r="O105" s="591">
        <f t="shared" si="36"/>
        <v>4.1170467830187789</v>
      </c>
      <c r="P105" s="591">
        <f t="shared" si="36"/>
        <v>4.6782198078492119</v>
      </c>
      <c r="Q105" s="591">
        <f t="shared" si="36"/>
        <v>4.2024538245577991</v>
      </c>
      <c r="R105" s="591">
        <f t="shared" si="36"/>
        <v>4.1364120243962521</v>
      </c>
    </row>
    <row r="106" spans="1:18" x14ac:dyDescent="0.2">
      <c r="C106" s="103"/>
      <c r="F106" s="153"/>
      <c r="G106" s="152" t="s">
        <v>263</v>
      </c>
      <c r="H106" s="579">
        <f t="shared" ref="H106:R106" si="37">H95</f>
        <v>2011</v>
      </c>
      <c r="I106" s="579">
        <f t="shared" si="37"/>
        <v>2012</v>
      </c>
      <c r="J106" s="579">
        <f t="shared" si="37"/>
        <v>2013</v>
      </c>
      <c r="K106" s="579">
        <f t="shared" si="37"/>
        <v>2014</v>
      </c>
      <c r="L106" s="579">
        <f t="shared" si="37"/>
        <v>2015</v>
      </c>
      <c r="M106" s="579">
        <f t="shared" si="37"/>
        <v>2016</v>
      </c>
      <c r="N106" s="579">
        <f t="shared" si="37"/>
        <v>2017</v>
      </c>
      <c r="O106" s="579">
        <f t="shared" si="37"/>
        <v>2018</v>
      </c>
      <c r="P106" s="579">
        <f t="shared" si="37"/>
        <v>2019</v>
      </c>
      <c r="Q106" s="579">
        <f t="shared" si="37"/>
        <v>2020</v>
      </c>
      <c r="R106" s="579">
        <f t="shared" si="37"/>
        <v>2021</v>
      </c>
    </row>
    <row r="107" spans="1:18" x14ac:dyDescent="0.2">
      <c r="A107" s="103" t="s">
        <v>264</v>
      </c>
      <c r="B107" s="89" t="s">
        <v>265</v>
      </c>
      <c r="C107" s="103" t="s">
        <v>266</v>
      </c>
      <c r="E107" s="583">
        <v>0.60000000000000009</v>
      </c>
      <c r="F107" s="153"/>
      <c r="G107" s="571" t="s">
        <v>267</v>
      </c>
      <c r="H107" s="589">
        <f t="shared" ref="H107:R107" si="38">H17/H4</f>
        <v>0</v>
      </c>
      <c r="I107" s="589">
        <f t="shared" si="38"/>
        <v>0</v>
      </c>
      <c r="J107" s="589">
        <f t="shared" si="38"/>
        <v>0</v>
      </c>
      <c r="K107" s="589">
        <f t="shared" si="38"/>
        <v>0</v>
      </c>
      <c r="L107" s="589">
        <f t="shared" si="38"/>
        <v>0</v>
      </c>
      <c r="M107" s="589">
        <f t="shared" si="38"/>
        <v>0</v>
      </c>
      <c r="N107" s="589">
        <f t="shared" si="38"/>
        <v>0</v>
      </c>
      <c r="O107" s="589">
        <f t="shared" si="38"/>
        <v>0</v>
      </c>
      <c r="P107" s="589">
        <f t="shared" si="38"/>
        <v>0</v>
      </c>
      <c r="Q107" s="589">
        <f t="shared" si="38"/>
        <v>0</v>
      </c>
      <c r="R107" s="589">
        <f t="shared" si="38"/>
        <v>0</v>
      </c>
    </row>
    <row r="108" spans="1:18" x14ac:dyDescent="0.2">
      <c r="A108" s="103" t="s">
        <v>268</v>
      </c>
      <c r="B108" s="89" t="s">
        <v>269</v>
      </c>
      <c r="C108" s="103" t="s">
        <v>270</v>
      </c>
      <c r="E108" s="583">
        <v>0.4</v>
      </c>
      <c r="F108" s="153"/>
      <c r="G108" s="143" t="s">
        <v>271</v>
      </c>
      <c r="H108" s="589" t="e">
        <f t="shared" ref="H108:R108" si="39">H27/H17</f>
        <v>#DIV/0!</v>
      </c>
      <c r="I108" s="589" t="e">
        <f t="shared" si="39"/>
        <v>#DIV/0!</v>
      </c>
      <c r="J108" s="589" t="e">
        <f t="shared" si="39"/>
        <v>#DIV/0!</v>
      </c>
      <c r="K108" s="589" t="e">
        <f t="shared" si="39"/>
        <v>#DIV/0!</v>
      </c>
      <c r="L108" s="589" t="e">
        <f t="shared" si="39"/>
        <v>#DIV/0!</v>
      </c>
      <c r="M108" s="589" t="e">
        <f t="shared" si="39"/>
        <v>#DIV/0!</v>
      </c>
      <c r="N108" s="589" t="e">
        <f t="shared" si="39"/>
        <v>#DIV/0!</v>
      </c>
      <c r="O108" s="589" t="e">
        <f t="shared" si="39"/>
        <v>#DIV/0!</v>
      </c>
      <c r="P108" s="589" t="e">
        <f t="shared" si="39"/>
        <v>#DIV/0!</v>
      </c>
      <c r="Q108" s="589" t="e">
        <f t="shared" si="39"/>
        <v>#DIV/0!</v>
      </c>
      <c r="R108" s="589" t="e">
        <f t="shared" si="39"/>
        <v>#DIV/0!</v>
      </c>
    </row>
    <row r="109" spans="1:18" x14ac:dyDescent="0.2">
      <c r="C109" s="103"/>
      <c r="F109" s="153"/>
      <c r="G109" s="158" t="s">
        <v>272</v>
      </c>
      <c r="H109" s="579">
        <f t="shared" ref="H109:R109" si="40">H95</f>
        <v>2011</v>
      </c>
      <c r="I109" s="579">
        <f t="shared" si="40"/>
        <v>2012</v>
      </c>
      <c r="J109" s="579">
        <f t="shared" si="40"/>
        <v>2013</v>
      </c>
      <c r="K109" s="579">
        <f t="shared" si="40"/>
        <v>2014</v>
      </c>
      <c r="L109" s="579">
        <f t="shared" si="40"/>
        <v>2015</v>
      </c>
      <c r="M109" s="579">
        <f t="shared" si="40"/>
        <v>2016</v>
      </c>
      <c r="N109" s="579">
        <f t="shared" si="40"/>
        <v>2017</v>
      </c>
      <c r="O109" s="579">
        <f t="shared" si="40"/>
        <v>2018</v>
      </c>
      <c r="P109" s="579">
        <f t="shared" si="40"/>
        <v>2019</v>
      </c>
      <c r="Q109" s="579">
        <f t="shared" si="40"/>
        <v>2020</v>
      </c>
      <c r="R109" s="579">
        <f t="shared" si="40"/>
        <v>2021</v>
      </c>
    </row>
    <row r="110" spans="1:18" x14ac:dyDescent="0.2">
      <c r="A110" s="103" t="s">
        <v>273</v>
      </c>
      <c r="B110" s="89" t="s">
        <v>274</v>
      </c>
      <c r="C110" s="159" t="s">
        <v>275</v>
      </c>
      <c r="E110" s="581"/>
      <c r="F110" s="153"/>
      <c r="G110" s="105" t="s">
        <v>276</v>
      </c>
      <c r="H110" s="592">
        <f t="shared" ref="H110:R110" si="41">H10/H4</f>
        <v>0.80716301539152902</v>
      </c>
      <c r="I110" s="592">
        <f t="shared" si="41"/>
        <v>0.76793880407521176</v>
      </c>
      <c r="J110" s="592">
        <f t="shared" si="41"/>
        <v>0.77086929226804202</v>
      </c>
      <c r="K110" s="592">
        <f t="shared" si="41"/>
        <v>0.79124447738786974</v>
      </c>
      <c r="L110" s="592">
        <f t="shared" si="41"/>
        <v>0.59902289173891232</v>
      </c>
      <c r="M110" s="592">
        <f t="shared" si="41"/>
        <v>0.75470070619692786</v>
      </c>
      <c r="N110" s="592">
        <f t="shared" si="41"/>
        <v>0.7915383013749534</v>
      </c>
      <c r="O110" s="592">
        <f t="shared" si="41"/>
        <v>0.78940610310293058</v>
      </c>
      <c r="P110" s="592">
        <f t="shared" si="41"/>
        <v>0.77170985625251409</v>
      </c>
      <c r="Q110" s="592">
        <f t="shared" si="41"/>
        <v>0.79563953656157815</v>
      </c>
      <c r="R110" s="592">
        <f t="shared" si="41"/>
        <v>0.79668020141031282</v>
      </c>
    </row>
    <row r="111" spans="1:18" x14ac:dyDescent="0.2">
      <c r="A111" s="103" t="s">
        <v>277</v>
      </c>
      <c r="B111" s="89" t="s">
        <v>278</v>
      </c>
      <c r="C111" s="159" t="s">
        <v>279</v>
      </c>
      <c r="E111" s="581"/>
      <c r="F111" s="153"/>
      <c r="G111" s="105" t="s">
        <v>280</v>
      </c>
      <c r="H111" s="592">
        <f>-(H58)/H15</f>
        <v>8.5080509301428964E-3</v>
      </c>
      <c r="I111" s="592">
        <f>-(I58)/L15</f>
        <v>0</v>
      </c>
      <c r="J111" s="592">
        <f>-(J58)/M15</f>
        <v>1.1950254762362156E-2</v>
      </c>
      <c r="K111" s="592">
        <f>-(K58)/N15</f>
        <v>2.0792311962966433E-2</v>
      </c>
      <c r="L111" s="592">
        <f>-(L58)/O15</f>
        <v>6.5997779946740123E-2</v>
      </c>
      <c r="M111" s="592">
        <f>-(M58)/P15</f>
        <v>6.6200472792231985E-2</v>
      </c>
      <c r="N111" s="592">
        <f>-(N58)/I15</f>
        <v>0</v>
      </c>
      <c r="O111" s="592">
        <f>-(O58)/J15</f>
        <v>0.10496647409814139</v>
      </c>
      <c r="P111" s="592">
        <f>-(P58)/K15</f>
        <v>3.3692599948932589E-2</v>
      </c>
      <c r="Q111" s="592">
        <f>-(Q58)/L15</f>
        <v>7.7870557951892183E-2</v>
      </c>
      <c r="R111" s="592">
        <f>-(R58)/M15</f>
        <v>5.2826744184152126E-2</v>
      </c>
    </row>
    <row r="112" spans="1:18" x14ac:dyDescent="0.2">
      <c r="A112" s="103" t="s">
        <v>281</v>
      </c>
      <c r="B112" s="89" t="s">
        <v>282</v>
      </c>
      <c r="C112" s="103" t="s">
        <v>283</v>
      </c>
      <c r="E112" s="581"/>
      <c r="F112" s="153"/>
      <c r="G112" s="571" t="s">
        <v>284</v>
      </c>
      <c r="H112" s="586">
        <f t="shared" ref="H112:R112" si="42">H33/H4</f>
        <v>0.38850174137737337</v>
      </c>
      <c r="I112" s="586">
        <f t="shared" si="42"/>
        <v>0.52961583401420642</v>
      </c>
      <c r="J112" s="586">
        <f t="shared" si="42"/>
        <v>0.50551878315215459</v>
      </c>
      <c r="K112" s="586">
        <f t="shared" si="42"/>
        <v>0.61387087803521512</v>
      </c>
      <c r="L112" s="586">
        <f t="shared" si="42"/>
        <v>0.52000676183993688</v>
      </c>
      <c r="M112" s="586">
        <f t="shared" si="42"/>
        <v>0.76776800347889584</v>
      </c>
      <c r="N112" s="586">
        <f t="shared" si="42"/>
        <v>0.39207906077064686</v>
      </c>
      <c r="O112" s="586">
        <f t="shared" si="42"/>
        <v>0.60121796267689598</v>
      </c>
      <c r="P112" s="586">
        <f t="shared" si="42"/>
        <v>0.57916455142784828</v>
      </c>
      <c r="Q112" s="586">
        <f t="shared" si="42"/>
        <v>0.57305317111582965</v>
      </c>
      <c r="R112" s="586">
        <f t="shared" si="42"/>
        <v>0.57860435011343236</v>
      </c>
    </row>
    <row r="113" spans="1:19" x14ac:dyDescent="0.2">
      <c r="A113" s="103" t="s">
        <v>285</v>
      </c>
      <c r="B113" s="89" t="s">
        <v>286</v>
      </c>
      <c r="C113" s="159" t="s">
        <v>287</v>
      </c>
      <c r="E113" s="581"/>
      <c r="F113" s="153"/>
      <c r="G113" s="143" t="s">
        <v>288</v>
      </c>
      <c r="H113" s="586">
        <f t="shared" ref="H113:R113" si="43">H33/H15</f>
        <v>0.58373277947669466</v>
      </c>
      <c r="I113" s="586">
        <f t="shared" si="43"/>
        <v>0.74680384112253106</v>
      </c>
      <c r="J113" s="586">
        <f t="shared" si="43"/>
        <v>0.6557775594677322</v>
      </c>
      <c r="K113" s="586">
        <f t="shared" si="43"/>
        <v>0.77582958943585045</v>
      </c>
      <c r="L113" s="586">
        <f t="shared" si="43"/>
        <v>0.86809163558073987</v>
      </c>
      <c r="M113" s="586">
        <f t="shared" si="43"/>
        <v>1.0173145422744023</v>
      </c>
      <c r="N113" s="586">
        <f t="shared" si="43"/>
        <v>0.49533807787896061</v>
      </c>
      <c r="O113" s="586">
        <f t="shared" si="43"/>
        <v>0.76160794844843405</v>
      </c>
      <c r="P113" s="586">
        <f t="shared" si="43"/>
        <v>0.75049521103736894</v>
      </c>
      <c r="Q113" s="586">
        <f t="shared" si="43"/>
        <v>0.72024220112580895</v>
      </c>
      <c r="R113" s="586">
        <f t="shared" si="43"/>
        <v>0.72626927227407612</v>
      </c>
    </row>
    <row r="114" spans="1:19" x14ac:dyDescent="0.2">
      <c r="A114" s="103" t="s">
        <v>289</v>
      </c>
      <c r="B114" s="89" t="s">
        <v>290</v>
      </c>
      <c r="C114" s="159" t="s">
        <v>291</v>
      </c>
      <c r="D114" s="583">
        <v>0.5</v>
      </c>
      <c r="E114" s="583">
        <f>1/3</f>
        <v>0.33333333333333331</v>
      </c>
      <c r="F114" s="153"/>
      <c r="G114" s="105" t="s">
        <v>292</v>
      </c>
      <c r="H114" s="592">
        <f t="shared" ref="H114:R114" si="44">H27/H4</f>
        <v>0.74665857768790023</v>
      </c>
      <c r="I114" s="592">
        <f t="shared" si="44"/>
        <v>0.80400701152493437</v>
      </c>
      <c r="J114" s="592">
        <f t="shared" si="44"/>
        <v>0.8618422865548615</v>
      </c>
      <c r="K114" s="592">
        <f t="shared" si="44"/>
        <v>0.91267503517953574</v>
      </c>
      <c r="L114" s="592">
        <f t="shared" si="44"/>
        <v>0.7581175664541091</v>
      </c>
      <c r="M114" s="592">
        <f t="shared" si="44"/>
        <v>0.94607457306696874</v>
      </c>
      <c r="N114" s="592">
        <f t="shared" si="44"/>
        <v>0.94610689350709454</v>
      </c>
      <c r="O114" s="592">
        <f t="shared" si="44"/>
        <v>0.94686394742880498</v>
      </c>
      <c r="P114" s="592">
        <f t="shared" si="44"/>
        <v>0.9477433373568046</v>
      </c>
      <c r="Q114" s="592">
        <f t="shared" si="44"/>
        <v>0.94778570112969962</v>
      </c>
      <c r="R114" s="592">
        <f t="shared" si="44"/>
        <v>0.94782000908481789</v>
      </c>
    </row>
    <row r="115" spans="1:19" x14ac:dyDescent="0.2">
      <c r="A115" s="161"/>
      <c r="C115" s="161"/>
      <c r="D115" s="162"/>
      <c r="E115" s="163"/>
      <c r="F115" s="153"/>
      <c r="G115" s="569" t="s">
        <v>293</v>
      </c>
      <c r="H115" s="579">
        <f t="shared" ref="H115:R115" si="45">H109</f>
        <v>2011</v>
      </c>
      <c r="I115" s="579">
        <f t="shared" si="45"/>
        <v>2012</v>
      </c>
      <c r="J115" s="579">
        <f t="shared" si="45"/>
        <v>2013</v>
      </c>
      <c r="K115" s="579">
        <f t="shared" si="45"/>
        <v>2014</v>
      </c>
      <c r="L115" s="579">
        <f t="shared" si="45"/>
        <v>2015</v>
      </c>
      <c r="M115" s="579">
        <f t="shared" si="45"/>
        <v>2016</v>
      </c>
      <c r="N115" s="579">
        <f t="shared" si="45"/>
        <v>2017</v>
      </c>
      <c r="O115" s="579">
        <f t="shared" si="45"/>
        <v>2018</v>
      </c>
      <c r="P115" s="579">
        <f t="shared" si="45"/>
        <v>2019</v>
      </c>
      <c r="Q115" s="579">
        <f t="shared" si="45"/>
        <v>2020</v>
      </c>
      <c r="R115" s="579">
        <f t="shared" si="45"/>
        <v>2021</v>
      </c>
    </row>
    <row r="116" spans="1:19" x14ac:dyDescent="0.2">
      <c r="A116" s="103" t="s">
        <v>294</v>
      </c>
      <c r="B116" s="89" t="s">
        <v>295</v>
      </c>
      <c r="C116" s="103" t="s">
        <v>296</v>
      </c>
      <c r="D116" s="164"/>
      <c r="E116" s="583">
        <v>0.05</v>
      </c>
      <c r="G116" s="571" t="s">
        <v>297</v>
      </c>
      <c r="H116" s="585">
        <f t="shared" ref="H116:R116" si="46">H35/H33</f>
        <v>0.42379847162594914</v>
      </c>
      <c r="I116" s="585">
        <f t="shared" si="46"/>
        <v>0.37766990788039634</v>
      </c>
      <c r="J116" s="585">
        <f t="shared" si="46"/>
        <v>0.42443956488321516</v>
      </c>
      <c r="K116" s="585">
        <f t="shared" si="46"/>
        <v>0.40033439433496654</v>
      </c>
      <c r="L116" s="585">
        <f t="shared" si="46"/>
        <v>0.38271384334958758</v>
      </c>
      <c r="M116" s="585">
        <f t="shared" si="46"/>
        <v>0.26917204641872472</v>
      </c>
      <c r="N116" s="585">
        <f t="shared" si="46"/>
        <v>0.45962985560300995</v>
      </c>
      <c r="O116" s="585">
        <f t="shared" si="46"/>
        <v>0.30160453487279598</v>
      </c>
      <c r="P116" s="585">
        <f t="shared" si="46"/>
        <v>0.31679962105152315</v>
      </c>
      <c r="Q116" s="585">
        <f t="shared" si="46"/>
        <v>0.32915786196844937</v>
      </c>
      <c r="R116" s="585">
        <f t="shared" si="46"/>
        <v>0.33519464484537714</v>
      </c>
    </row>
    <row r="117" spans="1:19" x14ac:dyDescent="0.2">
      <c r="A117" s="103" t="s">
        <v>298</v>
      </c>
      <c r="B117" s="89" t="s">
        <v>299</v>
      </c>
      <c r="C117" s="103" t="s">
        <v>300</v>
      </c>
      <c r="E117" s="583">
        <v>0.95</v>
      </c>
      <c r="G117" s="105" t="s">
        <v>301</v>
      </c>
      <c r="H117" s="592">
        <f t="shared" ref="H117:R117" si="47">(H36+H34)/H33</f>
        <v>0.57620152837405081</v>
      </c>
      <c r="I117" s="592">
        <f t="shared" si="47"/>
        <v>0.62965821426804913</v>
      </c>
      <c r="J117" s="592">
        <f t="shared" si="47"/>
        <v>0.57548758858658411</v>
      </c>
      <c r="K117" s="592">
        <f t="shared" si="47"/>
        <v>0.59966560566503346</v>
      </c>
      <c r="L117" s="592">
        <f t="shared" si="47"/>
        <v>0.53561574039189519</v>
      </c>
      <c r="M117" s="592">
        <f t="shared" si="47"/>
        <v>0.72954053858401935</v>
      </c>
      <c r="N117" s="592">
        <f t="shared" si="47"/>
        <v>0.54037014439699005</v>
      </c>
      <c r="O117" s="592">
        <f t="shared" si="47"/>
        <v>0.69839546512720396</v>
      </c>
      <c r="P117" s="592">
        <f t="shared" si="47"/>
        <v>0.68320037894847685</v>
      </c>
      <c r="Q117" s="592">
        <f t="shared" si="47"/>
        <v>0.67084213803155057</v>
      </c>
      <c r="R117" s="592">
        <f t="shared" si="47"/>
        <v>0.66480535515462291</v>
      </c>
    </row>
    <row r="118" spans="1:19" x14ac:dyDescent="0.2">
      <c r="A118" s="103" t="s">
        <v>302</v>
      </c>
      <c r="B118" s="89" t="s">
        <v>303</v>
      </c>
      <c r="C118" s="103" t="s">
        <v>304</v>
      </c>
      <c r="E118" s="583">
        <v>0.95</v>
      </c>
      <c r="G118" s="143" t="s">
        <v>305</v>
      </c>
      <c r="H118" s="585">
        <f t="shared" ref="H118:R118" si="48">H38/(H38+H41)</f>
        <v>0</v>
      </c>
      <c r="I118" s="585">
        <f t="shared" si="48"/>
        <v>0</v>
      </c>
      <c r="J118" s="585">
        <f t="shared" si="48"/>
        <v>0</v>
      </c>
      <c r="K118" s="585">
        <f t="shared" si="48"/>
        <v>3.3146346127126039E-4</v>
      </c>
      <c r="L118" s="585">
        <f t="shared" si="48"/>
        <v>0</v>
      </c>
      <c r="M118" s="585">
        <f t="shared" si="48"/>
        <v>0</v>
      </c>
      <c r="N118" s="585">
        <f t="shared" si="48"/>
        <v>0</v>
      </c>
      <c r="O118" s="585">
        <f t="shared" si="48"/>
        <v>0</v>
      </c>
      <c r="P118" s="585">
        <f t="shared" si="48"/>
        <v>0</v>
      </c>
      <c r="Q118" s="585">
        <f t="shared" si="48"/>
        <v>0</v>
      </c>
      <c r="R118" s="585">
        <f t="shared" si="48"/>
        <v>0</v>
      </c>
    </row>
    <row r="119" spans="1:19" x14ac:dyDescent="0.2">
      <c r="A119" s="161"/>
      <c r="C119" s="162"/>
      <c r="D119" s="162"/>
      <c r="E119" s="163"/>
      <c r="F119" s="153"/>
      <c r="G119" s="569" t="s">
        <v>306</v>
      </c>
      <c r="H119" s="579">
        <f t="shared" ref="H119:R119" si="49">H115</f>
        <v>2011</v>
      </c>
      <c r="I119" s="579">
        <f t="shared" si="49"/>
        <v>2012</v>
      </c>
      <c r="J119" s="579">
        <f t="shared" si="49"/>
        <v>2013</v>
      </c>
      <c r="K119" s="579">
        <f t="shared" si="49"/>
        <v>2014</v>
      </c>
      <c r="L119" s="579">
        <f t="shared" si="49"/>
        <v>2015</v>
      </c>
      <c r="M119" s="579">
        <f t="shared" si="49"/>
        <v>2016</v>
      </c>
      <c r="N119" s="579">
        <f t="shared" si="49"/>
        <v>2017</v>
      </c>
      <c r="O119" s="579">
        <f t="shared" si="49"/>
        <v>2018</v>
      </c>
      <c r="P119" s="579">
        <f t="shared" si="49"/>
        <v>2019</v>
      </c>
      <c r="Q119" s="579">
        <f t="shared" si="49"/>
        <v>2020</v>
      </c>
      <c r="R119" s="579">
        <f t="shared" si="49"/>
        <v>2021</v>
      </c>
    </row>
    <row r="120" spans="1:19" x14ac:dyDescent="0.2">
      <c r="A120" s="91" t="s">
        <v>307</v>
      </c>
      <c r="B120" s="89" t="s">
        <v>308</v>
      </c>
      <c r="C120" s="103" t="s">
        <v>309</v>
      </c>
      <c r="D120" s="593">
        <v>0.5</v>
      </c>
      <c r="E120" s="594" t="s">
        <v>310</v>
      </c>
      <c r="F120" s="91"/>
      <c r="G120" s="571" t="s">
        <v>311</v>
      </c>
      <c r="H120" s="586" t="str">
        <f t="shared" ref="H120:R120" si="50">IF(H116&lt;$D$120,$E$120,H35/H4)</f>
        <v>N/A</v>
      </c>
      <c r="I120" s="586" t="str">
        <f t="shared" si="50"/>
        <v>N/A</v>
      </c>
      <c r="J120" s="586" t="str">
        <f t="shared" si="50"/>
        <v>N/A</v>
      </c>
      <c r="K120" s="586" t="str">
        <f t="shared" si="50"/>
        <v>N/A</v>
      </c>
      <c r="L120" s="586" t="str">
        <f t="shared" si="50"/>
        <v>N/A</v>
      </c>
      <c r="M120" s="586" t="str">
        <f t="shared" si="50"/>
        <v>N/A</v>
      </c>
      <c r="N120" s="586" t="str">
        <f t="shared" si="50"/>
        <v>N/A</v>
      </c>
      <c r="O120" s="586" t="str">
        <f t="shared" si="50"/>
        <v>N/A</v>
      </c>
      <c r="P120" s="586" t="str">
        <f t="shared" si="50"/>
        <v>N/A</v>
      </c>
      <c r="Q120" s="586" t="str">
        <f t="shared" si="50"/>
        <v>N/A</v>
      </c>
      <c r="R120" s="586" t="str">
        <f t="shared" si="50"/>
        <v>N/A</v>
      </c>
    </row>
    <row r="121" spans="1:19" x14ac:dyDescent="0.2">
      <c r="A121" s="91" t="s">
        <v>312</v>
      </c>
      <c r="B121" s="89" t="s">
        <v>313</v>
      </c>
      <c r="C121" s="103" t="s">
        <v>314</v>
      </c>
      <c r="D121" s="593">
        <v>0.5</v>
      </c>
      <c r="E121" s="594" t="s">
        <v>310</v>
      </c>
      <c r="F121" s="91"/>
      <c r="G121" s="105" t="s">
        <v>315</v>
      </c>
      <c r="H121" s="586" t="str">
        <f>IF(H116&lt;$D$121,$E$121,H35/H15)</f>
        <v>N/A</v>
      </c>
      <c r="I121" s="586" t="str">
        <f t="shared" ref="I121:R121" si="51">IF(I116&lt;$D$121,$E$121,I35/D15)</f>
        <v>N/A</v>
      </c>
      <c r="J121" s="586" t="str">
        <f t="shared" si="51"/>
        <v>N/A</v>
      </c>
      <c r="K121" s="586" t="str">
        <f t="shared" si="51"/>
        <v>N/A</v>
      </c>
      <c r="L121" s="586" t="str">
        <f t="shared" si="51"/>
        <v>N/A</v>
      </c>
      <c r="M121" s="586" t="str">
        <f t="shared" si="51"/>
        <v>N/A</v>
      </c>
      <c r="N121" s="586" t="str">
        <f t="shared" si="51"/>
        <v>N/A</v>
      </c>
      <c r="O121" s="586" t="str">
        <f t="shared" si="51"/>
        <v>N/A</v>
      </c>
      <c r="P121" s="586" t="str">
        <f t="shared" si="51"/>
        <v>N/A</v>
      </c>
      <c r="Q121" s="586" t="str">
        <f t="shared" si="51"/>
        <v>N/A</v>
      </c>
      <c r="R121" s="586" t="str">
        <f t="shared" si="51"/>
        <v>N/A</v>
      </c>
    </row>
    <row r="122" spans="1:19" x14ac:dyDescent="0.2">
      <c r="A122" s="91" t="s">
        <v>316</v>
      </c>
      <c r="B122" s="89" t="s">
        <v>317</v>
      </c>
      <c r="C122" s="103" t="s">
        <v>217</v>
      </c>
      <c r="D122" s="593">
        <v>0.5</v>
      </c>
      <c r="E122" s="594" t="s">
        <v>310</v>
      </c>
      <c r="F122" s="91"/>
      <c r="G122" s="571" t="s">
        <v>318</v>
      </c>
      <c r="H122" s="592" t="str">
        <f t="shared" ref="H122:R122" si="52">IF(H116&lt;$D$122,$E$122,H46/H33)</f>
        <v>N/A</v>
      </c>
      <c r="I122" s="592" t="str">
        <f t="shared" si="52"/>
        <v>N/A</v>
      </c>
      <c r="J122" s="592" t="str">
        <f t="shared" si="52"/>
        <v>N/A</v>
      </c>
      <c r="K122" s="592" t="str">
        <f t="shared" si="52"/>
        <v>N/A</v>
      </c>
      <c r="L122" s="592" t="str">
        <f t="shared" si="52"/>
        <v>N/A</v>
      </c>
      <c r="M122" s="592" t="str">
        <f t="shared" si="52"/>
        <v>N/A</v>
      </c>
      <c r="N122" s="592" t="str">
        <f t="shared" si="52"/>
        <v>N/A</v>
      </c>
      <c r="O122" s="592" t="str">
        <f t="shared" si="52"/>
        <v>N/A</v>
      </c>
      <c r="P122" s="592" t="str">
        <f t="shared" si="52"/>
        <v>N/A</v>
      </c>
      <c r="Q122" s="592" t="str">
        <f t="shared" si="52"/>
        <v>N/A</v>
      </c>
      <c r="R122" s="592" t="str">
        <f t="shared" si="52"/>
        <v>N/A</v>
      </c>
    </row>
    <row r="123" spans="1:19" x14ac:dyDescent="0.2">
      <c r="A123" s="91" t="s">
        <v>319</v>
      </c>
      <c r="B123" s="89" t="s">
        <v>320</v>
      </c>
      <c r="C123" s="103" t="s">
        <v>321</v>
      </c>
      <c r="D123" s="593">
        <v>0.5</v>
      </c>
      <c r="E123" s="594" t="s">
        <v>310</v>
      </c>
      <c r="F123" s="91"/>
      <c r="G123" s="105" t="s">
        <v>322</v>
      </c>
      <c r="H123" s="592" t="str">
        <f t="shared" ref="H123:R123" si="53">IF(H116&lt;$D$122,$E$123,H51/H33)</f>
        <v>N/A</v>
      </c>
      <c r="I123" s="592" t="str">
        <f t="shared" si="53"/>
        <v>N/A</v>
      </c>
      <c r="J123" s="592" t="str">
        <f t="shared" si="53"/>
        <v>N/A</v>
      </c>
      <c r="K123" s="592" t="str">
        <f t="shared" si="53"/>
        <v>N/A</v>
      </c>
      <c r="L123" s="592" t="str">
        <f t="shared" si="53"/>
        <v>N/A</v>
      </c>
      <c r="M123" s="592" t="str">
        <f t="shared" si="53"/>
        <v>N/A</v>
      </c>
      <c r="N123" s="592" t="str">
        <f t="shared" si="53"/>
        <v>N/A</v>
      </c>
      <c r="O123" s="592" t="str">
        <f t="shared" si="53"/>
        <v>N/A</v>
      </c>
      <c r="P123" s="592" t="str">
        <f t="shared" si="53"/>
        <v>N/A</v>
      </c>
      <c r="Q123" s="592" t="str">
        <f t="shared" si="53"/>
        <v>N/A</v>
      </c>
      <c r="R123" s="592" t="str">
        <f t="shared" si="53"/>
        <v>N/A</v>
      </c>
    </row>
    <row r="124" spans="1:19" x14ac:dyDescent="0.2">
      <c r="A124" s="91" t="s">
        <v>323</v>
      </c>
      <c r="B124" s="89" t="s">
        <v>324</v>
      </c>
      <c r="C124" s="103" t="s">
        <v>325</v>
      </c>
      <c r="D124" s="593">
        <v>0.5</v>
      </c>
      <c r="E124" s="594" t="s">
        <v>310</v>
      </c>
      <c r="F124" s="91"/>
      <c r="G124" s="105" t="s">
        <v>326</v>
      </c>
      <c r="H124" s="592" t="str">
        <f t="shared" ref="H124:R124" si="54">IF(H116&lt;$D$124,$E$124,H51/H4)</f>
        <v>N/A</v>
      </c>
      <c r="I124" s="592" t="str">
        <f t="shared" si="54"/>
        <v>N/A</v>
      </c>
      <c r="J124" s="592" t="str">
        <f t="shared" si="54"/>
        <v>N/A</v>
      </c>
      <c r="K124" s="592" t="str">
        <f t="shared" si="54"/>
        <v>N/A</v>
      </c>
      <c r="L124" s="592" t="str">
        <f t="shared" si="54"/>
        <v>N/A</v>
      </c>
      <c r="M124" s="592" t="str">
        <f t="shared" si="54"/>
        <v>N/A</v>
      </c>
      <c r="N124" s="592" t="str">
        <f t="shared" si="54"/>
        <v>N/A</v>
      </c>
      <c r="O124" s="592" t="str">
        <f t="shared" si="54"/>
        <v>N/A</v>
      </c>
      <c r="P124" s="592" t="str">
        <f t="shared" si="54"/>
        <v>N/A</v>
      </c>
      <c r="Q124" s="592" t="str">
        <f t="shared" si="54"/>
        <v>N/A</v>
      </c>
      <c r="R124" s="592" t="str">
        <f t="shared" si="54"/>
        <v>N/A</v>
      </c>
    </row>
    <row r="125" spans="1:19" x14ac:dyDescent="0.2">
      <c r="A125" s="91" t="s">
        <v>327</v>
      </c>
      <c r="B125" s="89" t="s">
        <v>328</v>
      </c>
      <c r="C125" s="103" t="s">
        <v>329</v>
      </c>
      <c r="D125" s="593">
        <v>0.5</v>
      </c>
      <c r="E125" s="594" t="s">
        <v>310</v>
      </c>
      <c r="F125" s="91"/>
      <c r="G125" s="143" t="s">
        <v>330</v>
      </c>
      <c r="H125" s="592" t="str">
        <f t="shared" ref="H125:R125" si="55">IF(H116&lt;$D$125,$E$125,H51/H27)</f>
        <v>N/A</v>
      </c>
      <c r="I125" s="592" t="str">
        <f t="shared" si="55"/>
        <v>N/A</v>
      </c>
      <c r="J125" s="592" t="str">
        <f t="shared" si="55"/>
        <v>N/A</v>
      </c>
      <c r="K125" s="592" t="str">
        <f t="shared" si="55"/>
        <v>N/A</v>
      </c>
      <c r="L125" s="592" t="str">
        <f t="shared" si="55"/>
        <v>N/A</v>
      </c>
      <c r="M125" s="592" t="str">
        <f t="shared" si="55"/>
        <v>N/A</v>
      </c>
      <c r="N125" s="592" t="str">
        <f t="shared" si="55"/>
        <v>N/A</v>
      </c>
      <c r="O125" s="592" t="str">
        <f t="shared" si="55"/>
        <v>N/A</v>
      </c>
      <c r="P125" s="592" t="str">
        <f t="shared" si="55"/>
        <v>N/A</v>
      </c>
      <c r="Q125" s="592" t="str">
        <f t="shared" si="55"/>
        <v>N/A</v>
      </c>
      <c r="R125" s="592" t="str">
        <f t="shared" si="55"/>
        <v>N/A</v>
      </c>
    </row>
    <row r="126" spans="1:19" x14ac:dyDescent="0.2">
      <c r="C126" s="162"/>
      <c r="D126" s="162"/>
      <c r="E126" s="163"/>
      <c r="F126" s="91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1:19" x14ac:dyDescent="0.2">
      <c r="F127" s="91"/>
      <c r="H127" s="579">
        <f t="shared" ref="H127:R127" si="56">H119</f>
        <v>2011</v>
      </c>
      <c r="I127" s="579">
        <f t="shared" si="56"/>
        <v>2012</v>
      </c>
      <c r="J127" s="579">
        <f t="shared" si="56"/>
        <v>2013</v>
      </c>
      <c r="K127" s="579">
        <f t="shared" si="56"/>
        <v>2014</v>
      </c>
      <c r="L127" s="579">
        <f t="shared" si="56"/>
        <v>2015</v>
      </c>
      <c r="M127" s="579">
        <f t="shared" si="56"/>
        <v>2016</v>
      </c>
      <c r="N127" s="579">
        <f t="shared" si="56"/>
        <v>2017</v>
      </c>
      <c r="O127" s="579">
        <f t="shared" si="56"/>
        <v>2018</v>
      </c>
      <c r="P127" s="579">
        <f t="shared" si="56"/>
        <v>2019</v>
      </c>
      <c r="Q127" s="579">
        <f t="shared" si="56"/>
        <v>2020</v>
      </c>
      <c r="R127" s="579">
        <f t="shared" si="56"/>
        <v>2021</v>
      </c>
    </row>
    <row r="128" spans="1:19" x14ac:dyDescent="0.2">
      <c r="G128" s="595" t="s">
        <v>331</v>
      </c>
      <c r="H128" s="596">
        <f t="shared" ref="H128:R128" si="57">H33</f>
        <v>1729.027</v>
      </c>
      <c r="I128" s="596">
        <f t="shared" si="57"/>
        <v>2345.212</v>
      </c>
      <c r="J128" s="596">
        <f t="shared" si="57"/>
        <v>2017.9409999999998</v>
      </c>
      <c r="K128" s="596">
        <f t="shared" si="57"/>
        <v>2348.7240000000002</v>
      </c>
      <c r="L128" s="596">
        <f t="shared" si="57"/>
        <v>2786.97</v>
      </c>
      <c r="M128" s="596">
        <f t="shared" si="57"/>
        <v>4814.3916399999998</v>
      </c>
      <c r="N128" s="596">
        <f t="shared" si="57"/>
        <v>2458.5</v>
      </c>
      <c r="O128" s="596">
        <f t="shared" si="57"/>
        <v>3831.6400000000003</v>
      </c>
      <c r="P128" s="596">
        <f t="shared" si="57"/>
        <v>3749.9979199999998</v>
      </c>
      <c r="Q128" s="596">
        <f t="shared" si="57"/>
        <v>3710.2618617600001</v>
      </c>
      <c r="R128" s="596">
        <f t="shared" si="57"/>
        <v>3745.45719388928</v>
      </c>
    </row>
    <row r="129" spans="3:19" x14ac:dyDescent="0.2">
      <c r="G129" s="595" t="s">
        <v>332</v>
      </c>
      <c r="H129" s="596">
        <f t="shared" ref="H129:R130" si="58">H35</f>
        <v>732.75900000000001</v>
      </c>
      <c r="I129" s="596">
        <f t="shared" si="58"/>
        <v>885.71600000000001</v>
      </c>
      <c r="J129" s="596">
        <f t="shared" si="58"/>
        <v>856.49400000000003</v>
      </c>
      <c r="K129" s="596">
        <f t="shared" si="58"/>
        <v>940.27499999999998</v>
      </c>
      <c r="L129" s="596">
        <f t="shared" si="58"/>
        <v>1066.6120000000001</v>
      </c>
      <c r="M129" s="596">
        <f t="shared" si="58"/>
        <v>1295.8996500000001</v>
      </c>
      <c r="N129" s="596">
        <f t="shared" si="58"/>
        <v>1130</v>
      </c>
      <c r="O129" s="596">
        <f t="shared" si="58"/>
        <v>1155.6400000000001</v>
      </c>
      <c r="P129" s="596">
        <f t="shared" si="58"/>
        <v>1187.99792</v>
      </c>
      <c r="Q129" s="596">
        <f t="shared" si="58"/>
        <v>1221.2618617600001</v>
      </c>
      <c r="R129" s="596">
        <f t="shared" si="58"/>
        <v>1255.45719388928</v>
      </c>
    </row>
    <row r="130" spans="3:19" x14ac:dyDescent="0.2">
      <c r="G130" s="595" t="s">
        <v>333</v>
      </c>
      <c r="H130" s="596">
        <f t="shared" si="58"/>
        <v>996.26800000000003</v>
      </c>
      <c r="I130" s="596">
        <f t="shared" si="58"/>
        <v>1476.682</v>
      </c>
      <c r="J130" s="596">
        <f t="shared" si="58"/>
        <v>1161.3</v>
      </c>
      <c r="K130" s="596">
        <f t="shared" si="58"/>
        <v>1408.4490000000001</v>
      </c>
      <c r="L130" s="596">
        <f t="shared" si="58"/>
        <v>1492.7449999999999</v>
      </c>
      <c r="M130" s="596">
        <f t="shared" si="58"/>
        <v>3512.29387</v>
      </c>
      <c r="N130" s="596">
        <f t="shared" si="58"/>
        <v>1328.5</v>
      </c>
      <c r="O130" s="596">
        <f t="shared" si="58"/>
        <v>2676</v>
      </c>
      <c r="P130" s="596">
        <f t="shared" si="58"/>
        <v>2562</v>
      </c>
      <c r="Q130" s="596">
        <f t="shared" si="58"/>
        <v>2489</v>
      </c>
      <c r="R130" s="596">
        <f t="shared" si="58"/>
        <v>2490</v>
      </c>
    </row>
    <row r="131" spans="3:19" x14ac:dyDescent="0.2">
      <c r="G131" s="595" t="s">
        <v>334</v>
      </c>
      <c r="H131" s="596">
        <f t="shared" ref="H131:R131" si="59">H38+H41</f>
        <v>-1753.0419999999999</v>
      </c>
      <c r="I131" s="596">
        <f t="shared" si="59"/>
        <v>-2092.8980000000001</v>
      </c>
      <c r="J131" s="596">
        <f t="shared" si="59"/>
        <v>-2132.9770000000003</v>
      </c>
      <c r="K131" s="596">
        <f t="shared" si="59"/>
        <v>-2295.8789999999999</v>
      </c>
      <c r="L131" s="596">
        <f t="shared" si="59"/>
        <v>-2218.5269999999996</v>
      </c>
      <c r="M131" s="596">
        <f t="shared" si="59"/>
        <v>-2946.3661699999998</v>
      </c>
      <c r="N131" s="596">
        <f t="shared" si="59"/>
        <v>-2458.8254099999999</v>
      </c>
      <c r="O131" s="596">
        <f t="shared" si="59"/>
        <v>-3832.12761</v>
      </c>
      <c r="P131" s="596">
        <f t="shared" si="59"/>
        <v>-3749.88157</v>
      </c>
      <c r="Q131" s="596">
        <f t="shared" si="59"/>
        <v>-3709.8355299999998</v>
      </c>
      <c r="R131" s="596">
        <f t="shared" si="59"/>
        <v>-3745.8748213599997</v>
      </c>
    </row>
    <row r="132" spans="3:19" x14ac:dyDescent="0.2">
      <c r="G132" s="595" t="s">
        <v>335</v>
      </c>
      <c r="H132" s="596">
        <f t="shared" ref="H132:R132" si="60">H41</f>
        <v>-1753.0419999999999</v>
      </c>
      <c r="I132" s="596">
        <f t="shared" si="60"/>
        <v>-2092.8980000000001</v>
      </c>
      <c r="J132" s="596">
        <f t="shared" si="60"/>
        <v>-2132.9770000000003</v>
      </c>
      <c r="K132" s="596">
        <f t="shared" si="60"/>
        <v>-2295.1179999999999</v>
      </c>
      <c r="L132" s="596">
        <f t="shared" si="60"/>
        <v>-2218.5269999999996</v>
      </c>
      <c r="M132" s="596">
        <f t="shared" si="60"/>
        <v>-2946.3661699999998</v>
      </c>
      <c r="N132" s="596">
        <f t="shared" si="60"/>
        <v>-2458.8254099999999</v>
      </c>
      <c r="O132" s="596">
        <f t="shared" si="60"/>
        <v>-3832.12761</v>
      </c>
      <c r="P132" s="596">
        <f t="shared" si="60"/>
        <v>-3749.88157</v>
      </c>
      <c r="Q132" s="596">
        <f t="shared" si="60"/>
        <v>-3709.8355299999998</v>
      </c>
      <c r="R132" s="596">
        <f t="shared" si="60"/>
        <v>-3745.8748213599997</v>
      </c>
    </row>
    <row r="133" spans="3:19" x14ac:dyDescent="0.2">
      <c r="G133" s="595" t="s">
        <v>336</v>
      </c>
      <c r="H133" s="596">
        <f t="shared" ref="H133:R133" si="61">H38</f>
        <v>0</v>
      </c>
      <c r="I133" s="596">
        <f t="shared" si="61"/>
        <v>0</v>
      </c>
      <c r="J133" s="596">
        <f t="shared" si="61"/>
        <v>0</v>
      </c>
      <c r="K133" s="596">
        <f t="shared" si="61"/>
        <v>-0.76100000000000001</v>
      </c>
      <c r="L133" s="596">
        <f t="shared" si="61"/>
        <v>0</v>
      </c>
      <c r="M133" s="596">
        <f t="shared" si="61"/>
        <v>0</v>
      </c>
      <c r="N133" s="596">
        <f t="shared" si="61"/>
        <v>0</v>
      </c>
      <c r="O133" s="596">
        <f t="shared" si="61"/>
        <v>0</v>
      </c>
      <c r="P133" s="596">
        <f t="shared" si="61"/>
        <v>0</v>
      </c>
      <c r="Q133" s="596">
        <f t="shared" si="61"/>
        <v>0</v>
      </c>
      <c r="R133" s="596">
        <f t="shared" si="61"/>
        <v>0</v>
      </c>
    </row>
    <row r="134" spans="3:19" x14ac:dyDescent="0.2">
      <c r="G134" s="595" t="s">
        <v>337</v>
      </c>
      <c r="H134" s="596">
        <f t="shared" ref="H134:R134" si="62">H46</f>
        <v>-24.014999999999873</v>
      </c>
      <c r="I134" s="596">
        <f t="shared" si="62"/>
        <v>252.31399999999985</v>
      </c>
      <c r="J134" s="596">
        <f t="shared" si="62"/>
        <v>-115.03600000000051</v>
      </c>
      <c r="K134" s="596">
        <f t="shared" si="62"/>
        <v>52.845000000000255</v>
      </c>
      <c r="L134" s="596">
        <f t="shared" si="62"/>
        <v>568.44300000000021</v>
      </c>
      <c r="M134" s="596">
        <f t="shared" si="62"/>
        <v>1868.02547</v>
      </c>
      <c r="N134" s="596">
        <f t="shared" si="62"/>
        <v>-0.32540999999991982</v>
      </c>
      <c r="O134" s="596">
        <f t="shared" si="62"/>
        <v>-0.4876099999996768</v>
      </c>
      <c r="P134" s="596">
        <f t="shared" si="62"/>
        <v>0.1163499999997839</v>
      </c>
      <c r="Q134" s="596">
        <f t="shared" si="62"/>
        <v>0.42633176000026651</v>
      </c>
      <c r="R134" s="596">
        <f t="shared" si="62"/>
        <v>-0.41762747071970807</v>
      </c>
    </row>
    <row r="135" spans="3:19" x14ac:dyDescent="0.2">
      <c r="G135" s="595" t="s">
        <v>338</v>
      </c>
      <c r="H135" s="596">
        <f t="shared" ref="H135:R135" si="63">H51</f>
        <v>-48.265999999999877</v>
      </c>
      <c r="I135" s="596">
        <f t="shared" si="63"/>
        <v>237.24999999999986</v>
      </c>
      <c r="J135" s="596">
        <f t="shared" si="63"/>
        <v>-119.93300000000052</v>
      </c>
      <c r="K135" s="596">
        <f t="shared" si="63"/>
        <v>51.654000000000252</v>
      </c>
      <c r="L135" s="596">
        <f t="shared" si="63"/>
        <v>571.14700000000016</v>
      </c>
      <c r="M135" s="596">
        <f t="shared" si="63"/>
        <v>1869.36493</v>
      </c>
      <c r="N135" s="596">
        <f t="shared" si="63"/>
        <v>-0.32540999999991982</v>
      </c>
      <c r="O135" s="596">
        <f t="shared" si="63"/>
        <v>-0.4876099999996768</v>
      </c>
      <c r="P135" s="596">
        <f t="shared" si="63"/>
        <v>0.1163499999997839</v>
      </c>
      <c r="Q135" s="596">
        <f t="shared" si="63"/>
        <v>0.42633176000026651</v>
      </c>
      <c r="R135" s="596">
        <f t="shared" si="63"/>
        <v>-0.41762747071970807</v>
      </c>
    </row>
    <row r="136" spans="3:19" x14ac:dyDescent="0.2">
      <c r="G136" s="595" t="s">
        <v>339</v>
      </c>
      <c r="H136" s="596">
        <f t="shared" ref="H136:R137" si="64">H4</f>
        <v>4450.5</v>
      </c>
      <c r="I136" s="596">
        <f t="shared" si="64"/>
        <v>4428.1379999999999</v>
      </c>
      <c r="J136" s="596">
        <f t="shared" si="64"/>
        <v>3991.8219999999997</v>
      </c>
      <c r="K136" s="596">
        <f t="shared" si="64"/>
        <v>3826.0880000000002</v>
      </c>
      <c r="L136" s="596">
        <f t="shared" si="64"/>
        <v>5359.4880000000003</v>
      </c>
      <c r="M136" s="596">
        <f t="shared" si="64"/>
        <v>6270.6333399999994</v>
      </c>
      <c r="N136" s="596">
        <f t="shared" si="64"/>
        <v>6270.4190200000003</v>
      </c>
      <c r="O136" s="596">
        <f t="shared" si="64"/>
        <v>6373.12961</v>
      </c>
      <c r="P136" s="596">
        <f t="shared" si="64"/>
        <v>6474.8402000000006</v>
      </c>
      <c r="Q136" s="596">
        <f t="shared" si="64"/>
        <v>6474.5507900000002</v>
      </c>
      <c r="R136" s="596">
        <f t="shared" si="64"/>
        <v>6473.2613799999999</v>
      </c>
    </row>
    <row r="137" spans="3:19" x14ac:dyDescent="0.2">
      <c r="G137" s="595" t="s">
        <v>340</v>
      </c>
      <c r="H137" s="596">
        <f t="shared" si="64"/>
        <v>858.221</v>
      </c>
      <c r="I137" s="596">
        <f t="shared" si="64"/>
        <v>1027.5989999999999</v>
      </c>
      <c r="J137" s="596">
        <f t="shared" si="64"/>
        <v>914.649</v>
      </c>
      <c r="K137" s="596">
        <f t="shared" si="64"/>
        <v>798.71699999999998</v>
      </c>
      <c r="L137" s="596">
        <f t="shared" si="64"/>
        <v>2149.0320000000002</v>
      </c>
      <c r="M137" s="596">
        <f t="shared" si="64"/>
        <v>1538.18193</v>
      </c>
      <c r="N137" s="596">
        <f t="shared" si="64"/>
        <v>1307.1422</v>
      </c>
      <c r="O137" s="596">
        <f t="shared" si="64"/>
        <v>1342.1422</v>
      </c>
      <c r="P137" s="596">
        <f t="shared" si="64"/>
        <v>1478.1422</v>
      </c>
      <c r="Q137" s="596">
        <f t="shared" si="64"/>
        <v>1323.1422</v>
      </c>
      <c r="R137" s="596">
        <f t="shared" si="64"/>
        <v>1316.1422</v>
      </c>
    </row>
    <row r="138" spans="3:19" x14ac:dyDescent="0.2">
      <c r="G138" s="595" t="s">
        <v>341</v>
      </c>
      <c r="H138" s="596">
        <f t="shared" ref="H138:R138" si="65">H10</f>
        <v>3592.279</v>
      </c>
      <c r="I138" s="596">
        <f t="shared" si="65"/>
        <v>3400.5389999999998</v>
      </c>
      <c r="J138" s="596">
        <f t="shared" si="65"/>
        <v>3077.1729999999998</v>
      </c>
      <c r="K138" s="596">
        <f t="shared" si="65"/>
        <v>3027.3710000000001</v>
      </c>
      <c r="L138" s="596">
        <f t="shared" si="65"/>
        <v>3210.4560000000001</v>
      </c>
      <c r="M138" s="596">
        <f t="shared" si="65"/>
        <v>4732.4514099999997</v>
      </c>
      <c r="N138" s="596">
        <f t="shared" si="65"/>
        <v>4963.27682</v>
      </c>
      <c r="O138" s="596">
        <f t="shared" si="65"/>
        <v>5030.9874099999997</v>
      </c>
      <c r="P138" s="596">
        <f t="shared" si="65"/>
        <v>4996.6980000000003</v>
      </c>
      <c r="Q138" s="596">
        <f t="shared" si="65"/>
        <v>5151.40859</v>
      </c>
      <c r="R138" s="596">
        <f t="shared" si="65"/>
        <v>5157.1191799999997</v>
      </c>
    </row>
    <row r="139" spans="3:19" x14ac:dyDescent="0.2">
      <c r="G139" s="595" t="s">
        <v>342</v>
      </c>
      <c r="H139" s="596">
        <f t="shared" ref="H139:R140" si="66">H19</f>
        <v>1127.4949999999999</v>
      </c>
      <c r="I139" s="596">
        <f t="shared" si="66"/>
        <v>867.88499999999999</v>
      </c>
      <c r="J139" s="596">
        <f t="shared" si="66"/>
        <v>551.5</v>
      </c>
      <c r="K139" s="596">
        <f t="shared" si="66"/>
        <v>334.11200000000002</v>
      </c>
      <c r="L139" s="596">
        <f t="shared" si="66"/>
        <v>1296.367</v>
      </c>
      <c r="M139" s="596">
        <f t="shared" si="66"/>
        <v>338.14657999999997</v>
      </c>
      <c r="N139" s="596">
        <f t="shared" si="66"/>
        <v>338.14657999999997</v>
      </c>
      <c r="O139" s="596">
        <f t="shared" si="66"/>
        <v>338.14657999999997</v>
      </c>
      <c r="P139" s="596">
        <f t="shared" si="66"/>
        <v>338.14657999999997</v>
      </c>
      <c r="Q139" s="596">
        <f t="shared" si="66"/>
        <v>338.14657999999997</v>
      </c>
      <c r="R139" s="596">
        <f t="shared" si="66"/>
        <v>338.14657999999997</v>
      </c>
    </row>
    <row r="140" spans="3:19" x14ac:dyDescent="0.2">
      <c r="G140" s="595" t="s">
        <v>343</v>
      </c>
      <c r="H140" s="596">
        <f t="shared" si="66"/>
        <v>556.45699999999999</v>
      </c>
      <c r="I140" s="596">
        <f t="shared" si="66"/>
        <v>607.67700000000002</v>
      </c>
      <c r="J140" s="596">
        <f t="shared" si="66"/>
        <v>551.5</v>
      </c>
      <c r="K140" s="596">
        <f t="shared" si="66"/>
        <v>334.11200000000002</v>
      </c>
      <c r="L140" s="596">
        <f t="shared" si="66"/>
        <v>1296.367</v>
      </c>
      <c r="M140" s="596">
        <f t="shared" si="66"/>
        <v>338.14657999999997</v>
      </c>
      <c r="N140" s="596">
        <f t="shared" si="66"/>
        <v>338.14657999999997</v>
      </c>
      <c r="O140" s="596">
        <f t="shared" si="66"/>
        <v>338.14657999999997</v>
      </c>
      <c r="P140" s="596">
        <f t="shared" si="66"/>
        <v>338.14657999999997</v>
      </c>
      <c r="Q140" s="596">
        <f t="shared" si="66"/>
        <v>338.14657999999997</v>
      </c>
      <c r="R140" s="596">
        <f t="shared" si="66"/>
        <v>338.14657999999997</v>
      </c>
    </row>
    <row r="141" spans="3:19" x14ac:dyDescent="0.2">
      <c r="G141" s="595" t="s">
        <v>344</v>
      </c>
      <c r="H141" s="596">
        <f t="shared" ref="H141:R141" si="67">H24</f>
        <v>869.89599999999996</v>
      </c>
      <c r="I141" s="596">
        <f t="shared" si="67"/>
        <v>568.81799999999998</v>
      </c>
      <c r="J141" s="596">
        <f t="shared" si="67"/>
        <v>260.16500000000002</v>
      </c>
      <c r="K141" s="596">
        <f t="shared" si="67"/>
        <v>0</v>
      </c>
      <c r="L141" s="596">
        <f t="shared" si="67"/>
        <v>0</v>
      </c>
      <c r="M141" s="596">
        <f t="shared" si="67"/>
        <v>0</v>
      </c>
      <c r="N141" s="596">
        <f t="shared" si="67"/>
        <v>0</v>
      </c>
      <c r="O141" s="596">
        <f t="shared" si="67"/>
        <v>0</v>
      </c>
      <c r="P141" s="596">
        <f t="shared" si="67"/>
        <v>0</v>
      </c>
      <c r="Q141" s="596">
        <f t="shared" si="67"/>
        <v>0</v>
      </c>
      <c r="R141" s="596">
        <f t="shared" si="67"/>
        <v>0</v>
      </c>
    </row>
    <row r="142" spans="3:19" x14ac:dyDescent="0.2">
      <c r="G142" s="595" t="s">
        <v>345</v>
      </c>
      <c r="H142" s="596">
        <f t="shared" ref="H142:R142" si="68">H27</f>
        <v>3323.0039999999999</v>
      </c>
      <c r="I142" s="596">
        <f t="shared" si="68"/>
        <v>3560.2539999999999</v>
      </c>
      <c r="J142" s="596">
        <f t="shared" si="68"/>
        <v>3440.3209999999999</v>
      </c>
      <c r="K142" s="596">
        <f t="shared" si="68"/>
        <v>3491.9749999999999</v>
      </c>
      <c r="L142" s="596">
        <f t="shared" si="68"/>
        <v>4063.1220000000003</v>
      </c>
      <c r="M142" s="596">
        <f t="shared" si="68"/>
        <v>5932.4867599999998</v>
      </c>
      <c r="N142" s="596">
        <f t="shared" si="68"/>
        <v>5932.4866600000005</v>
      </c>
      <c r="O142" s="596">
        <f t="shared" si="68"/>
        <v>6034.4866600000005</v>
      </c>
      <c r="P142" s="596">
        <f t="shared" si="68"/>
        <v>6136.4866600000005</v>
      </c>
      <c r="Q142" s="596">
        <f t="shared" si="68"/>
        <v>6136.4866600000005</v>
      </c>
      <c r="R142" s="596">
        <f t="shared" si="68"/>
        <v>6135.4866600000005</v>
      </c>
    </row>
    <row r="143" spans="3:19" x14ac:dyDescent="0.2">
      <c r="C143" s="162"/>
      <c r="D143" s="162"/>
      <c r="E143" s="16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</row>
    <row r="144" spans="3:19" x14ac:dyDescent="0.2">
      <c r="C144" s="103" t="s">
        <v>346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</row>
    <row r="145" spans="3:18" x14ac:dyDescent="0.2">
      <c r="C145" s="103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</row>
    <row r="146" spans="3:18" x14ac:dyDescent="0.2">
      <c r="C146" s="103" t="s">
        <v>347</v>
      </c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</row>
    <row r="147" spans="3:18" x14ac:dyDescent="0.2">
      <c r="C147" s="103" t="s">
        <v>348</v>
      </c>
      <c r="F147" s="10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</row>
    <row r="148" spans="3:18" x14ac:dyDescent="0.2">
      <c r="C148" s="103"/>
      <c r="F148" s="109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</row>
    <row r="149" spans="3:18" x14ac:dyDescent="0.2">
      <c r="C149" s="103" t="s">
        <v>349</v>
      </c>
      <c r="F149" s="109"/>
    </row>
    <row r="150" spans="3:18" x14ac:dyDescent="0.2">
      <c r="C150" s="103" t="s">
        <v>350</v>
      </c>
      <c r="F150" s="109"/>
    </row>
  </sheetData>
  <sheetProtection selectLockedCells="1" selectUnlockedCells="1"/>
  <mergeCells count="3">
    <mergeCell ref="K2:L2"/>
    <mergeCell ref="M2:R2"/>
    <mergeCell ref="D87:E87"/>
  </mergeCells>
  <conditionalFormatting sqref="R90">
    <cfRule type="cellIs" dxfId="579" priority="1" stopIfTrue="1" operator="lessThan">
      <formula>$E$90</formula>
    </cfRule>
    <cfRule type="cellIs" dxfId="578" priority="2" stopIfTrue="1" operator="greaterThan">
      <formula>$E$90</formula>
    </cfRule>
  </conditionalFormatting>
  <conditionalFormatting sqref="R93">
    <cfRule type="cellIs" dxfId="577" priority="3" stopIfTrue="1" operator="lessThan">
      <formula>$D$93</formula>
    </cfRule>
    <cfRule type="cellIs" dxfId="576" priority="4" stopIfTrue="1" operator="between">
      <formula>$D$93</formula>
      <formula>$E$93</formula>
    </cfRule>
    <cfRule type="cellIs" dxfId="575" priority="5" stopIfTrue="1" operator="greaterThan">
      <formula>$E$93</formula>
    </cfRule>
  </conditionalFormatting>
  <conditionalFormatting sqref="R99">
    <cfRule type="cellIs" dxfId="574" priority="6" stopIfTrue="1" operator="greaterThan">
      <formula>$E$99</formula>
    </cfRule>
    <cfRule type="cellIs" dxfId="573" priority="7" stopIfTrue="1" operator="lessThanOrEqual">
      <formula>$E$99</formula>
    </cfRule>
  </conditionalFormatting>
  <conditionalFormatting sqref="R100">
    <cfRule type="cellIs" dxfId="572" priority="8" stopIfTrue="1" operator="between">
      <formula>$D$100</formula>
      <formula>$E$100</formula>
    </cfRule>
    <cfRule type="cellIs" dxfId="571" priority="9" stopIfTrue="1" operator="lessThanOrEqual">
      <formula>$D$100</formula>
    </cfRule>
    <cfRule type="cellIs" dxfId="570" priority="10" stopIfTrue="1" operator="greaterThan">
      <formula>$E$100</formula>
    </cfRule>
  </conditionalFormatting>
  <conditionalFormatting sqref="R102">
    <cfRule type="cellIs" dxfId="569" priority="11" stopIfTrue="1" operator="greaterThanOrEqual">
      <formula>$E$102</formula>
    </cfRule>
    <cfRule type="cellIs" dxfId="568" priority="12" stopIfTrue="1" operator="lessThan">
      <formula>$E$102</formula>
    </cfRule>
  </conditionalFormatting>
  <conditionalFormatting sqref="R103">
    <cfRule type="cellIs" dxfId="567" priority="13" stopIfTrue="1" operator="greaterThan">
      <formula>$E$103</formula>
    </cfRule>
    <cfRule type="cellIs" dxfId="566" priority="14" stopIfTrue="1" operator="lessThanOrEqual">
      <formula>$E$103</formula>
    </cfRule>
  </conditionalFormatting>
  <conditionalFormatting sqref="R104">
    <cfRule type="cellIs" dxfId="565" priority="15" stopIfTrue="1" operator="lessThan">
      <formula>$E$104</formula>
    </cfRule>
    <cfRule type="cellIs" dxfId="564" priority="16" stopIfTrue="1" operator="greaterThanOrEqual">
      <formula>$E$104</formula>
    </cfRule>
  </conditionalFormatting>
  <conditionalFormatting sqref="R107">
    <cfRule type="cellIs" dxfId="563" priority="17" stopIfTrue="1" operator="greaterThan">
      <formula>$E$107</formula>
    </cfRule>
    <cfRule type="cellIs" dxfId="562" priority="18" stopIfTrue="1" operator="lessThanOrEqual">
      <formula>$E$107</formula>
    </cfRule>
  </conditionalFormatting>
  <conditionalFormatting sqref="R108">
    <cfRule type="cellIs" dxfId="561" priority="19" stopIfTrue="1" operator="lessThan">
      <formula>$E$108</formula>
    </cfRule>
    <cfRule type="cellIs" dxfId="560" priority="20" stopIfTrue="1" operator="greaterThanOrEqual">
      <formula>$E$108</formula>
    </cfRule>
  </conditionalFormatting>
  <conditionalFormatting sqref="R114">
    <cfRule type="cellIs" dxfId="559" priority="21" stopIfTrue="1" operator="lessThan">
      <formula>$E$114</formula>
    </cfRule>
    <cfRule type="cellIs" dxfId="558" priority="22" stopIfTrue="1" operator="between">
      <formula>$D$114</formula>
      <formula>$E$114</formula>
    </cfRule>
    <cfRule type="cellIs" dxfId="557" priority="23" stopIfTrue="1" operator="greaterThanOrEqual">
      <formula>$D$114</formula>
    </cfRule>
  </conditionalFormatting>
  <conditionalFormatting sqref="R116">
    <cfRule type="cellIs" dxfId="556" priority="24" stopIfTrue="1" operator="greaterThan">
      <formula>$E$116</formula>
    </cfRule>
    <cfRule type="cellIs" dxfId="555" priority="25" stopIfTrue="1" operator="lessThanOrEqual">
      <formula>$E$116</formula>
    </cfRule>
  </conditionalFormatting>
  <conditionalFormatting sqref="R117">
    <cfRule type="cellIs" dxfId="554" priority="26" stopIfTrue="1" operator="greaterThan">
      <formula>$E$117</formula>
    </cfRule>
    <cfRule type="cellIs" dxfId="553" priority="27" stopIfTrue="1" operator="lessThanOrEqual">
      <formula>$E$117</formula>
    </cfRule>
  </conditionalFormatting>
  <conditionalFormatting sqref="R118">
    <cfRule type="cellIs" dxfId="552" priority="28" stopIfTrue="1" operator="lessThanOrEqual">
      <formula>$E$118</formula>
    </cfRule>
    <cfRule type="cellIs" dxfId="551" priority="29" stopIfTrue="1" operator="greaterThan">
      <formula>$E$118</formula>
    </cfRule>
  </conditionalFormatting>
  <conditionalFormatting sqref="H90:Q90">
    <cfRule type="cellIs" dxfId="550" priority="30" stopIfTrue="1" operator="lessThan">
      <formula>$E$90</formula>
    </cfRule>
    <cfRule type="cellIs" dxfId="549" priority="31" stopIfTrue="1" operator="greaterThan">
      <formula>$E$90</formula>
    </cfRule>
  </conditionalFormatting>
  <conditionalFormatting sqref="H93:Q93">
    <cfRule type="cellIs" dxfId="548" priority="32" stopIfTrue="1" operator="lessThan">
      <formula>$D$93</formula>
    </cfRule>
    <cfRule type="cellIs" dxfId="547" priority="33" stopIfTrue="1" operator="between">
      <formula>$D$93</formula>
      <formula>$E$93</formula>
    </cfRule>
    <cfRule type="cellIs" dxfId="546" priority="34" stopIfTrue="1" operator="greaterThan">
      <formula>$E$93</formula>
    </cfRule>
  </conditionalFormatting>
  <conditionalFormatting sqref="H99:Q99">
    <cfRule type="cellIs" dxfId="545" priority="35" stopIfTrue="1" operator="greaterThan">
      <formula>$E$99</formula>
    </cfRule>
    <cfRule type="cellIs" dxfId="544" priority="36" stopIfTrue="1" operator="lessThanOrEqual">
      <formula>$E$99</formula>
    </cfRule>
  </conditionalFormatting>
  <conditionalFormatting sqref="H100:Q100">
    <cfRule type="cellIs" dxfId="543" priority="37" stopIfTrue="1" operator="between">
      <formula>$D$100</formula>
      <formula>$E$100</formula>
    </cfRule>
    <cfRule type="cellIs" dxfId="542" priority="38" stopIfTrue="1" operator="lessThanOrEqual">
      <formula>$D$100</formula>
    </cfRule>
    <cfRule type="cellIs" dxfId="541" priority="39" stopIfTrue="1" operator="greaterThan">
      <formula>$E$100</formula>
    </cfRule>
  </conditionalFormatting>
  <conditionalFormatting sqref="H102:Q102">
    <cfRule type="cellIs" dxfId="540" priority="40" stopIfTrue="1" operator="greaterThanOrEqual">
      <formula>$E$102</formula>
    </cfRule>
    <cfRule type="cellIs" dxfId="539" priority="41" stopIfTrue="1" operator="lessThan">
      <formula>$E$102</formula>
    </cfRule>
  </conditionalFormatting>
  <conditionalFormatting sqref="H103:Q103">
    <cfRule type="cellIs" dxfId="538" priority="42" stopIfTrue="1" operator="greaterThan">
      <formula>$E$103</formula>
    </cfRule>
    <cfRule type="cellIs" dxfId="537" priority="43" stopIfTrue="1" operator="lessThanOrEqual">
      <formula>$E$103</formula>
    </cfRule>
  </conditionalFormatting>
  <conditionalFormatting sqref="H104:Q104">
    <cfRule type="cellIs" dxfId="536" priority="44" stopIfTrue="1" operator="lessThan">
      <formula>$E$104</formula>
    </cfRule>
    <cfRule type="cellIs" dxfId="535" priority="45" stopIfTrue="1" operator="greaterThanOrEqual">
      <formula>$E$104</formula>
    </cfRule>
  </conditionalFormatting>
  <conditionalFormatting sqref="H107:Q107">
    <cfRule type="cellIs" dxfId="534" priority="46" stopIfTrue="1" operator="greaterThan">
      <formula>$E$107</formula>
    </cfRule>
    <cfRule type="cellIs" dxfId="533" priority="47" stopIfTrue="1" operator="lessThanOrEqual">
      <formula>$E$107</formula>
    </cfRule>
  </conditionalFormatting>
  <conditionalFormatting sqref="H108:Q108">
    <cfRule type="cellIs" dxfId="532" priority="48" stopIfTrue="1" operator="lessThan">
      <formula>$E$108</formula>
    </cfRule>
    <cfRule type="cellIs" dxfId="531" priority="49" stopIfTrue="1" operator="greaterThanOrEqual">
      <formula>$E$108</formula>
    </cfRule>
  </conditionalFormatting>
  <conditionalFormatting sqref="H114:Q114">
    <cfRule type="cellIs" dxfId="530" priority="50" stopIfTrue="1" operator="lessThan">
      <formula>$E$114</formula>
    </cfRule>
    <cfRule type="cellIs" dxfId="529" priority="51" stopIfTrue="1" operator="between">
      <formula>$D$114</formula>
      <formula>$E$114</formula>
    </cfRule>
    <cfRule type="cellIs" dxfId="528" priority="52" stopIfTrue="1" operator="greaterThanOrEqual">
      <formula>$D$114</formula>
    </cfRule>
  </conditionalFormatting>
  <conditionalFormatting sqref="H116:Q116">
    <cfRule type="cellIs" dxfId="527" priority="53" stopIfTrue="1" operator="greaterThan">
      <formula>$E$116</formula>
    </cfRule>
    <cfRule type="cellIs" dxfId="526" priority="54" stopIfTrue="1" operator="lessThanOrEqual">
      <formula>$E$116</formula>
    </cfRule>
  </conditionalFormatting>
  <conditionalFormatting sqref="H117:Q117">
    <cfRule type="cellIs" dxfId="525" priority="55" stopIfTrue="1" operator="greaterThan">
      <formula>$E$117</formula>
    </cfRule>
    <cfRule type="cellIs" dxfId="524" priority="56" stopIfTrue="1" operator="lessThanOrEqual">
      <formula>$E$117</formula>
    </cfRule>
  </conditionalFormatting>
  <conditionalFormatting sqref="H118:Q118">
    <cfRule type="cellIs" dxfId="523" priority="57" stopIfTrue="1" operator="lessThanOrEqual">
      <formula>$E$118</formula>
    </cfRule>
    <cfRule type="cellIs" dxfId="522" priority="58" stopIfTrue="1" operator="greaterThan">
      <formula>$E$118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ColWidth="10.140625" defaultRowHeight="11.25" x14ac:dyDescent="0.2"/>
  <cols>
    <col min="1" max="1" width="6.28515625" style="1091" customWidth="1"/>
    <col min="2" max="2" width="5.5703125" style="1077" customWidth="1"/>
    <col min="3" max="3" width="23.140625" style="1094" customWidth="1"/>
    <col min="4" max="4" width="8" style="1094" customWidth="1"/>
    <col min="5" max="5" width="5.7109375" style="1092" customWidth="1"/>
    <col min="6" max="6" width="2.42578125" style="1091" customWidth="1"/>
    <col min="7" max="7" width="20.42578125" style="1129" customWidth="1"/>
    <col min="8" max="18" width="9.5703125" style="1079" customWidth="1"/>
    <col min="19" max="256" width="10.140625" style="1079"/>
    <col min="257" max="257" width="6.28515625" style="1079" customWidth="1"/>
    <col min="258" max="258" width="5.5703125" style="1079" customWidth="1"/>
    <col min="259" max="259" width="23.140625" style="1079" customWidth="1"/>
    <col min="260" max="260" width="8" style="1079" customWidth="1"/>
    <col min="261" max="261" width="5.7109375" style="1079" customWidth="1"/>
    <col min="262" max="262" width="2.42578125" style="1079" customWidth="1"/>
    <col min="263" max="263" width="20.42578125" style="1079" customWidth="1"/>
    <col min="264" max="274" width="9.5703125" style="1079" customWidth="1"/>
    <col min="275" max="512" width="10.140625" style="1079"/>
    <col min="513" max="513" width="6.28515625" style="1079" customWidth="1"/>
    <col min="514" max="514" width="5.5703125" style="1079" customWidth="1"/>
    <col min="515" max="515" width="23.140625" style="1079" customWidth="1"/>
    <col min="516" max="516" width="8" style="1079" customWidth="1"/>
    <col min="517" max="517" width="5.7109375" style="1079" customWidth="1"/>
    <col min="518" max="518" width="2.42578125" style="1079" customWidth="1"/>
    <col min="519" max="519" width="20.42578125" style="1079" customWidth="1"/>
    <col min="520" max="530" width="9.5703125" style="1079" customWidth="1"/>
    <col min="531" max="768" width="10.140625" style="1079"/>
    <col min="769" max="769" width="6.28515625" style="1079" customWidth="1"/>
    <col min="770" max="770" width="5.5703125" style="1079" customWidth="1"/>
    <col min="771" max="771" width="23.140625" style="1079" customWidth="1"/>
    <col min="772" max="772" width="8" style="1079" customWidth="1"/>
    <col min="773" max="773" width="5.7109375" style="1079" customWidth="1"/>
    <col min="774" max="774" width="2.42578125" style="1079" customWidth="1"/>
    <col min="775" max="775" width="20.42578125" style="1079" customWidth="1"/>
    <col min="776" max="786" width="9.5703125" style="1079" customWidth="1"/>
    <col min="787" max="1024" width="10.140625" style="1079"/>
    <col min="1025" max="1025" width="6.28515625" style="1079" customWidth="1"/>
    <col min="1026" max="1026" width="5.5703125" style="1079" customWidth="1"/>
    <col min="1027" max="1027" width="23.140625" style="1079" customWidth="1"/>
    <col min="1028" max="1028" width="8" style="1079" customWidth="1"/>
    <col min="1029" max="1029" width="5.7109375" style="1079" customWidth="1"/>
    <col min="1030" max="1030" width="2.42578125" style="1079" customWidth="1"/>
    <col min="1031" max="1031" width="20.42578125" style="1079" customWidth="1"/>
    <col min="1032" max="1042" width="9.5703125" style="1079" customWidth="1"/>
    <col min="1043" max="1280" width="10.140625" style="1079"/>
    <col min="1281" max="1281" width="6.28515625" style="1079" customWidth="1"/>
    <col min="1282" max="1282" width="5.5703125" style="1079" customWidth="1"/>
    <col min="1283" max="1283" width="23.140625" style="1079" customWidth="1"/>
    <col min="1284" max="1284" width="8" style="1079" customWidth="1"/>
    <col min="1285" max="1285" width="5.7109375" style="1079" customWidth="1"/>
    <col min="1286" max="1286" width="2.42578125" style="1079" customWidth="1"/>
    <col min="1287" max="1287" width="20.42578125" style="1079" customWidth="1"/>
    <col min="1288" max="1298" width="9.5703125" style="1079" customWidth="1"/>
    <col min="1299" max="1536" width="10.140625" style="1079"/>
    <col min="1537" max="1537" width="6.28515625" style="1079" customWidth="1"/>
    <col min="1538" max="1538" width="5.5703125" style="1079" customWidth="1"/>
    <col min="1539" max="1539" width="23.140625" style="1079" customWidth="1"/>
    <col min="1540" max="1540" width="8" style="1079" customWidth="1"/>
    <col min="1541" max="1541" width="5.7109375" style="1079" customWidth="1"/>
    <col min="1542" max="1542" width="2.42578125" style="1079" customWidth="1"/>
    <col min="1543" max="1543" width="20.42578125" style="1079" customWidth="1"/>
    <col min="1544" max="1554" width="9.5703125" style="1079" customWidth="1"/>
    <col min="1555" max="1792" width="10.140625" style="1079"/>
    <col min="1793" max="1793" width="6.28515625" style="1079" customWidth="1"/>
    <col min="1794" max="1794" width="5.5703125" style="1079" customWidth="1"/>
    <col min="1795" max="1795" width="23.140625" style="1079" customWidth="1"/>
    <col min="1796" max="1796" width="8" style="1079" customWidth="1"/>
    <col min="1797" max="1797" width="5.7109375" style="1079" customWidth="1"/>
    <col min="1798" max="1798" width="2.42578125" style="1079" customWidth="1"/>
    <col min="1799" max="1799" width="20.42578125" style="1079" customWidth="1"/>
    <col min="1800" max="1810" width="9.5703125" style="1079" customWidth="1"/>
    <col min="1811" max="2048" width="10.140625" style="1079"/>
    <col min="2049" max="2049" width="6.28515625" style="1079" customWidth="1"/>
    <col min="2050" max="2050" width="5.5703125" style="1079" customWidth="1"/>
    <col min="2051" max="2051" width="23.140625" style="1079" customWidth="1"/>
    <col min="2052" max="2052" width="8" style="1079" customWidth="1"/>
    <col min="2053" max="2053" width="5.7109375" style="1079" customWidth="1"/>
    <col min="2054" max="2054" width="2.42578125" style="1079" customWidth="1"/>
    <col min="2055" max="2055" width="20.42578125" style="1079" customWidth="1"/>
    <col min="2056" max="2066" width="9.5703125" style="1079" customWidth="1"/>
    <col min="2067" max="2304" width="10.140625" style="1079"/>
    <col min="2305" max="2305" width="6.28515625" style="1079" customWidth="1"/>
    <col min="2306" max="2306" width="5.5703125" style="1079" customWidth="1"/>
    <col min="2307" max="2307" width="23.140625" style="1079" customWidth="1"/>
    <col min="2308" max="2308" width="8" style="1079" customWidth="1"/>
    <col min="2309" max="2309" width="5.7109375" style="1079" customWidth="1"/>
    <col min="2310" max="2310" width="2.42578125" style="1079" customWidth="1"/>
    <col min="2311" max="2311" width="20.42578125" style="1079" customWidth="1"/>
    <col min="2312" max="2322" width="9.5703125" style="1079" customWidth="1"/>
    <col min="2323" max="2560" width="10.140625" style="1079"/>
    <col min="2561" max="2561" width="6.28515625" style="1079" customWidth="1"/>
    <col min="2562" max="2562" width="5.5703125" style="1079" customWidth="1"/>
    <col min="2563" max="2563" width="23.140625" style="1079" customWidth="1"/>
    <col min="2564" max="2564" width="8" style="1079" customWidth="1"/>
    <col min="2565" max="2565" width="5.7109375" style="1079" customWidth="1"/>
    <col min="2566" max="2566" width="2.42578125" style="1079" customWidth="1"/>
    <col min="2567" max="2567" width="20.42578125" style="1079" customWidth="1"/>
    <col min="2568" max="2578" width="9.5703125" style="1079" customWidth="1"/>
    <col min="2579" max="2816" width="10.140625" style="1079"/>
    <col min="2817" max="2817" width="6.28515625" style="1079" customWidth="1"/>
    <col min="2818" max="2818" width="5.5703125" style="1079" customWidth="1"/>
    <col min="2819" max="2819" width="23.140625" style="1079" customWidth="1"/>
    <col min="2820" max="2820" width="8" style="1079" customWidth="1"/>
    <col min="2821" max="2821" width="5.7109375" style="1079" customWidth="1"/>
    <col min="2822" max="2822" width="2.42578125" style="1079" customWidth="1"/>
    <col min="2823" max="2823" width="20.42578125" style="1079" customWidth="1"/>
    <col min="2824" max="2834" width="9.5703125" style="1079" customWidth="1"/>
    <col min="2835" max="3072" width="10.140625" style="1079"/>
    <col min="3073" max="3073" width="6.28515625" style="1079" customWidth="1"/>
    <col min="3074" max="3074" width="5.5703125" style="1079" customWidth="1"/>
    <col min="3075" max="3075" width="23.140625" style="1079" customWidth="1"/>
    <col min="3076" max="3076" width="8" style="1079" customWidth="1"/>
    <col min="3077" max="3077" width="5.7109375" style="1079" customWidth="1"/>
    <col min="3078" max="3078" width="2.42578125" style="1079" customWidth="1"/>
    <col min="3079" max="3079" width="20.42578125" style="1079" customWidth="1"/>
    <col min="3080" max="3090" width="9.5703125" style="1079" customWidth="1"/>
    <col min="3091" max="3328" width="10.140625" style="1079"/>
    <col min="3329" max="3329" width="6.28515625" style="1079" customWidth="1"/>
    <col min="3330" max="3330" width="5.5703125" style="1079" customWidth="1"/>
    <col min="3331" max="3331" width="23.140625" style="1079" customWidth="1"/>
    <col min="3332" max="3332" width="8" style="1079" customWidth="1"/>
    <col min="3333" max="3333" width="5.7109375" style="1079" customWidth="1"/>
    <col min="3334" max="3334" width="2.42578125" style="1079" customWidth="1"/>
    <col min="3335" max="3335" width="20.42578125" style="1079" customWidth="1"/>
    <col min="3336" max="3346" width="9.5703125" style="1079" customWidth="1"/>
    <col min="3347" max="3584" width="10.140625" style="1079"/>
    <col min="3585" max="3585" width="6.28515625" style="1079" customWidth="1"/>
    <col min="3586" max="3586" width="5.5703125" style="1079" customWidth="1"/>
    <col min="3587" max="3587" width="23.140625" style="1079" customWidth="1"/>
    <col min="3588" max="3588" width="8" style="1079" customWidth="1"/>
    <col min="3589" max="3589" width="5.7109375" style="1079" customWidth="1"/>
    <col min="3590" max="3590" width="2.42578125" style="1079" customWidth="1"/>
    <col min="3591" max="3591" width="20.42578125" style="1079" customWidth="1"/>
    <col min="3592" max="3602" width="9.5703125" style="1079" customWidth="1"/>
    <col min="3603" max="3840" width="10.140625" style="1079"/>
    <col min="3841" max="3841" width="6.28515625" style="1079" customWidth="1"/>
    <col min="3842" max="3842" width="5.5703125" style="1079" customWidth="1"/>
    <col min="3843" max="3843" width="23.140625" style="1079" customWidth="1"/>
    <col min="3844" max="3844" width="8" style="1079" customWidth="1"/>
    <col min="3845" max="3845" width="5.7109375" style="1079" customWidth="1"/>
    <col min="3846" max="3846" width="2.42578125" style="1079" customWidth="1"/>
    <col min="3847" max="3847" width="20.42578125" style="1079" customWidth="1"/>
    <col min="3848" max="3858" width="9.5703125" style="1079" customWidth="1"/>
    <col min="3859" max="4096" width="10.140625" style="1079"/>
    <col min="4097" max="4097" width="6.28515625" style="1079" customWidth="1"/>
    <col min="4098" max="4098" width="5.5703125" style="1079" customWidth="1"/>
    <col min="4099" max="4099" width="23.140625" style="1079" customWidth="1"/>
    <col min="4100" max="4100" width="8" style="1079" customWidth="1"/>
    <col min="4101" max="4101" width="5.7109375" style="1079" customWidth="1"/>
    <col min="4102" max="4102" width="2.42578125" style="1079" customWidth="1"/>
    <col min="4103" max="4103" width="20.42578125" style="1079" customWidth="1"/>
    <col min="4104" max="4114" width="9.5703125" style="1079" customWidth="1"/>
    <col min="4115" max="4352" width="10.140625" style="1079"/>
    <col min="4353" max="4353" width="6.28515625" style="1079" customWidth="1"/>
    <col min="4354" max="4354" width="5.5703125" style="1079" customWidth="1"/>
    <col min="4355" max="4355" width="23.140625" style="1079" customWidth="1"/>
    <col min="4356" max="4356" width="8" style="1079" customWidth="1"/>
    <col min="4357" max="4357" width="5.7109375" style="1079" customWidth="1"/>
    <col min="4358" max="4358" width="2.42578125" style="1079" customWidth="1"/>
    <col min="4359" max="4359" width="20.42578125" style="1079" customWidth="1"/>
    <col min="4360" max="4370" width="9.5703125" style="1079" customWidth="1"/>
    <col min="4371" max="4608" width="10.140625" style="1079"/>
    <col min="4609" max="4609" width="6.28515625" style="1079" customWidth="1"/>
    <col min="4610" max="4610" width="5.5703125" style="1079" customWidth="1"/>
    <col min="4611" max="4611" width="23.140625" style="1079" customWidth="1"/>
    <col min="4612" max="4612" width="8" style="1079" customWidth="1"/>
    <col min="4613" max="4613" width="5.7109375" style="1079" customWidth="1"/>
    <col min="4614" max="4614" width="2.42578125" style="1079" customWidth="1"/>
    <col min="4615" max="4615" width="20.42578125" style="1079" customWidth="1"/>
    <col min="4616" max="4626" width="9.5703125" style="1079" customWidth="1"/>
    <col min="4627" max="4864" width="10.140625" style="1079"/>
    <col min="4865" max="4865" width="6.28515625" style="1079" customWidth="1"/>
    <col min="4866" max="4866" width="5.5703125" style="1079" customWidth="1"/>
    <col min="4867" max="4867" width="23.140625" style="1079" customWidth="1"/>
    <col min="4868" max="4868" width="8" style="1079" customWidth="1"/>
    <col min="4869" max="4869" width="5.7109375" style="1079" customWidth="1"/>
    <col min="4870" max="4870" width="2.42578125" style="1079" customWidth="1"/>
    <col min="4871" max="4871" width="20.42578125" style="1079" customWidth="1"/>
    <col min="4872" max="4882" width="9.5703125" style="1079" customWidth="1"/>
    <col min="4883" max="5120" width="10.140625" style="1079"/>
    <col min="5121" max="5121" width="6.28515625" style="1079" customWidth="1"/>
    <col min="5122" max="5122" width="5.5703125" style="1079" customWidth="1"/>
    <col min="5123" max="5123" width="23.140625" style="1079" customWidth="1"/>
    <col min="5124" max="5124" width="8" style="1079" customWidth="1"/>
    <col min="5125" max="5125" width="5.7109375" style="1079" customWidth="1"/>
    <col min="5126" max="5126" width="2.42578125" style="1079" customWidth="1"/>
    <col min="5127" max="5127" width="20.42578125" style="1079" customWidth="1"/>
    <col min="5128" max="5138" width="9.5703125" style="1079" customWidth="1"/>
    <col min="5139" max="5376" width="10.140625" style="1079"/>
    <col min="5377" max="5377" width="6.28515625" style="1079" customWidth="1"/>
    <col min="5378" max="5378" width="5.5703125" style="1079" customWidth="1"/>
    <col min="5379" max="5379" width="23.140625" style="1079" customWidth="1"/>
    <col min="5380" max="5380" width="8" style="1079" customWidth="1"/>
    <col min="5381" max="5381" width="5.7109375" style="1079" customWidth="1"/>
    <col min="5382" max="5382" width="2.42578125" style="1079" customWidth="1"/>
    <col min="5383" max="5383" width="20.42578125" style="1079" customWidth="1"/>
    <col min="5384" max="5394" width="9.5703125" style="1079" customWidth="1"/>
    <col min="5395" max="5632" width="10.140625" style="1079"/>
    <col min="5633" max="5633" width="6.28515625" style="1079" customWidth="1"/>
    <col min="5634" max="5634" width="5.5703125" style="1079" customWidth="1"/>
    <col min="5635" max="5635" width="23.140625" style="1079" customWidth="1"/>
    <col min="5636" max="5636" width="8" style="1079" customWidth="1"/>
    <col min="5637" max="5637" width="5.7109375" style="1079" customWidth="1"/>
    <col min="5638" max="5638" width="2.42578125" style="1079" customWidth="1"/>
    <col min="5639" max="5639" width="20.42578125" style="1079" customWidth="1"/>
    <col min="5640" max="5650" width="9.5703125" style="1079" customWidth="1"/>
    <col min="5651" max="5888" width="10.140625" style="1079"/>
    <col min="5889" max="5889" width="6.28515625" style="1079" customWidth="1"/>
    <col min="5890" max="5890" width="5.5703125" style="1079" customWidth="1"/>
    <col min="5891" max="5891" width="23.140625" style="1079" customWidth="1"/>
    <col min="5892" max="5892" width="8" style="1079" customWidth="1"/>
    <col min="5893" max="5893" width="5.7109375" style="1079" customWidth="1"/>
    <col min="5894" max="5894" width="2.42578125" style="1079" customWidth="1"/>
    <col min="5895" max="5895" width="20.42578125" style="1079" customWidth="1"/>
    <col min="5896" max="5906" width="9.5703125" style="1079" customWidth="1"/>
    <col min="5907" max="6144" width="10.140625" style="1079"/>
    <col min="6145" max="6145" width="6.28515625" style="1079" customWidth="1"/>
    <col min="6146" max="6146" width="5.5703125" style="1079" customWidth="1"/>
    <col min="6147" max="6147" width="23.140625" style="1079" customWidth="1"/>
    <col min="6148" max="6148" width="8" style="1079" customWidth="1"/>
    <col min="6149" max="6149" width="5.7109375" style="1079" customWidth="1"/>
    <col min="6150" max="6150" width="2.42578125" style="1079" customWidth="1"/>
    <col min="6151" max="6151" width="20.42578125" style="1079" customWidth="1"/>
    <col min="6152" max="6162" width="9.5703125" style="1079" customWidth="1"/>
    <col min="6163" max="6400" width="10.140625" style="1079"/>
    <col min="6401" max="6401" width="6.28515625" style="1079" customWidth="1"/>
    <col min="6402" max="6402" width="5.5703125" style="1079" customWidth="1"/>
    <col min="6403" max="6403" width="23.140625" style="1079" customWidth="1"/>
    <col min="6404" max="6404" width="8" style="1079" customWidth="1"/>
    <col min="6405" max="6405" width="5.7109375" style="1079" customWidth="1"/>
    <col min="6406" max="6406" width="2.42578125" style="1079" customWidth="1"/>
    <col min="6407" max="6407" width="20.42578125" style="1079" customWidth="1"/>
    <col min="6408" max="6418" width="9.5703125" style="1079" customWidth="1"/>
    <col min="6419" max="6656" width="10.140625" style="1079"/>
    <col min="6657" max="6657" width="6.28515625" style="1079" customWidth="1"/>
    <col min="6658" max="6658" width="5.5703125" style="1079" customWidth="1"/>
    <col min="6659" max="6659" width="23.140625" style="1079" customWidth="1"/>
    <col min="6660" max="6660" width="8" style="1079" customWidth="1"/>
    <col min="6661" max="6661" width="5.7109375" style="1079" customWidth="1"/>
    <col min="6662" max="6662" width="2.42578125" style="1079" customWidth="1"/>
    <col min="6663" max="6663" width="20.42578125" style="1079" customWidth="1"/>
    <col min="6664" max="6674" width="9.5703125" style="1079" customWidth="1"/>
    <col min="6675" max="6912" width="10.140625" style="1079"/>
    <col min="6913" max="6913" width="6.28515625" style="1079" customWidth="1"/>
    <col min="6914" max="6914" width="5.5703125" style="1079" customWidth="1"/>
    <col min="6915" max="6915" width="23.140625" style="1079" customWidth="1"/>
    <col min="6916" max="6916" width="8" style="1079" customWidth="1"/>
    <col min="6917" max="6917" width="5.7109375" style="1079" customWidth="1"/>
    <col min="6918" max="6918" width="2.42578125" style="1079" customWidth="1"/>
    <col min="6919" max="6919" width="20.42578125" style="1079" customWidth="1"/>
    <col min="6920" max="6930" width="9.5703125" style="1079" customWidth="1"/>
    <col min="6931" max="7168" width="10.140625" style="1079"/>
    <col min="7169" max="7169" width="6.28515625" style="1079" customWidth="1"/>
    <col min="7170" max="7170" width="5.5703125" style="1079" customWidth="1"/>
    <col min="7171" max="7171" width="23.140625" style="1079" customWidth="1"/>
    <col min="7172" max="7172" width="8" style="1079" customWidth="1"/>
    <col min="7173" max="7173" width="5.7109375" style="1079" customWidth="1"/>
    <col min="7174" max="7174" width="2.42578125" style="1079" customWidth="1"/>
    <col min="7175" max="7175" width="20.42578125" style="1079" customWidth="1"/>
    <col min="7176" max="7186" width="9.5703125" style="1079" customWidth="1"/>
    <col min="7187" max="7424" width="10.140625" style="1079"/>
    <col min="7425" max="7425" width="6.28515625" style="1079" customWidth="1"/>
    <col min="7426" max="7426" width="5.5703125" style="1079" customWidth="1"/>
    <col min="7427" max="7427" width="23.140625" style="1079" customWidth="1"/>
    <col min="7428" max="7428" width="8" style="1079" customWidth="1"/>
    <col min="7429" max="7429" width="5.7109375" style="1079" customWidth="1"/>
    <col min="7430" max="7430" width="2.42578125" style="1079" customWidth="1"/>
    <col min="7431" max="7431" width="20.42578125" style="1079" customWidth="1"/>
    <col min="7432" max="7442" width="9.5703125" style="1079" customWidth="1"/>
    <col min="7443" max="7680" width="10.140625" style="1079"/>
    <col min="7681" max="7681" width="6.28515625" style="1079" customWidth="1"/>
    <col min="7682" max="7682" width="5.5703125" style="1079" customWidth="1"/>
    <col min="7683" max="7683" width="23.140625" style="1079" customWidth="1"/>
    <col min="7684" max="7684" width="8" style="1079" customWidth="1"/>
    <col min="7685" max="7685" width="5.7109375" style="1079" customWidth="1"/>
    <col min="7686" max="7686" width="2.42578125" style="1079" customWidth="1"/>
    <col min="7687" max="7687" width="20.42578125" style="1079" customWidth="1"/>
    <col min="7688" max="7698" width="9.5703125" style="1079" customWidth="1"/>
    <col min="7699" max="7936" width="10.140625" style="1079"/>
    <col min="7937" max="7937" width="6.28515625" style="1079" customWidth="1"/>
    <col min="7938" max="7938" width="5.5703125" style="1079" customWidth="1"/>
    <col min="7939" max="7939" width="23.140625" style="1079" customWidth="1"/>
    <col min="7940" max="7940" width="8" style="1079" customWidth="1"/>
    <col min="7941" max="7941" width="5.7109375" style="1079" customWidth="1"/>
    <col min="7942" max="7942" width="2.42578125" style="1079" customWidth="1"/>
    <col min="7943" max="7943" width="20.42578125" style="1079" customWidth="1"/>
    <col min="7944" max="7954" width="9.5703125" style="1079" customWidth="1"/>
    <col min="7955" max="8192" width="10.140625" style="1079"/>
    <col min="8193" max="8193" width="6.28515625" style="1079" customWidth="1"/>
    <col min="8194" max="8194" width="5.5703125" style="1079" customWidth="1"/>
    <col min="8195" max="8195" width="23.140625" style="1079" customWidth="1"/>
    <col min="8196" max="8196" width="8" style="1079" customWidth="1"/>
    <col min="8197" max="8197" width="5.7109375" style="1079" customWidth="1"/>
    <col min="8198" max="8198" width="2.42578125" style="1079" customWidth="1"/>
    <col min="8199" max="8199" width="20.42578125" style="1079" customWidth="1"/>
    <col min="8200" max="8210" width="9.5703125" style="1079" customWidth="1"/>
    <col min="8211" max="8448" width="10.140625" style="1079"/>
    <col min="8449" max="8449" width="6.28515625" style="1079" customWidth="1"/>
    <col min="8450" max="8450" width="5.5703125" style="1079" customWidth="1"/>
    <col min="8451" max="8451" width="23.140625" style="1079" customWidth="1"/>
    <col min="8452" max="8452" width="8" style="1079" customWidth="1"/>
    <col min="8453" max="8453" width="5.7109375" style="1079" customWidth="1"/>
    <col min="8454" max="8454" width="2.42578125" style="1079" customWidth="1"/>
    <col min="8455" max="8455" width="20.42578125" style="1079" customWidth="1"/>
    <col min="8456" max="8466" width="9.5703125" style="1079" customWidth="1"/>
    <col min="8467" max="8704" width="10.140625" style="1079"/>
    <col min="8705" max="8705" width="6.28515625" style="1079" customWidth="1"/>
    <col min="8706" max="8706" width="5.5703125" style="1079" customWidth="1"/>
    <col min="8707" max="8707" width="23.140625" style="1079" customWidth="1"/>
    <col min="8708" max="8708" width="8" style="1079" customWidth="1"/>
    <col min="8709" max="8709" width="5.7109375" style="1079" customWidth="1"/>
    <col min="8710" max="8710" width="2.42578125" style="1079" customWidth="1"/>
    <col min="8711" max="8711" width="20.42578125" style="1079" customWidth="1"/>
    <col min="8712" max="8722" width="9.5703125" style="1079" customWidth="1"/>
    <col min="8723" max="8960" width="10.140625" style="1079"/>
    <col min="8961" max="8961" width="6.28515625" style="1079" customWidth="1"/>
    <col min="8962" max="8962" width="5.5703125" style="1079" customWidth="1"/>
    <col min="8963" max="8963" width="23.140625" style="1079" customWidth="1"/>
    <col min="8964" max="8964" width="8" style="1079" customWidth="1"/>
    <col min="8965" max="8965" width="5.7109375" style="1079" customWidth="1"/>
    <col min="8966" max="8966" width="2.42578125" style="1079" customWidth="1"/>
    <col min="8967" max="8967" width="20.42578125" style="1079" customWidth="1"/>
    <col min="8968" max="8978" width="9.5703125" style="1079" customWidth="1"/>
    <col min="8979" max="9216" width="10.140625" style="1079"/>
    <col min="9217" max="9217" width="6.28515625" style="1079" customWidth="1"/>
    <col min="9218" max="9218" width="5.5703125" style="1079" customWidth="1"/>
    <col min="9219" max="9219" width="23.140625" style="1079" customWidth="1"/>
    <col min="9220" max="9220" width="8" style="1079" customWidth="1"/>
    <col min="9221" max="9221" width="5.7109375" style="1079" customWidth="1"/>
    <col min="9222" max="9222" width="2.42578125" style="1079" customWidth="1"/>
    <col min="9223" max="9223" width="20.42578125" style="1079" customWidth="1"/>
    <col min="9224" max="9234" width="9.5703125" style="1079" customWidth="1"/>
    <col min="9235" max="9472" width="10.140625" style="1079"/>
    <col min="9473" max="9473" width="6.28515625" style="1079" customWidth="1"/>
    <col min="9474" max="9474" width="5.5703125" style="1079" customWidth="1"/>
    <col min="9475" max="9475" width="23.140625" style="1079" customWidth="1"/>
    <col min="9476" max="9476" width="8" style="1079" customWidth="1"/>
    <col min="9477" max="9477" width="5.7109375" style="1079" customWidth="1"/>
    <col min="9478" max="9478" width="2.42578125" style="1079" customWidth="1"/>
    <col min="9479" max="9479" width="20.42578125" style="1079" customWidth="1"/>
    <col min="9480" max="9490" width="9.5703125" style="1079" customWidth="1"/>
    <col min="9491" max="9728" width="10.140625" style="1079"/>
    <col min="9729" max="9729" width="6.28515625" style="1079" customWidth="1"/>
    <col min="9730" max="9730" width="5.5703125" style="1079" customWidth="1"/>
    <col min="9731" max="9731" width="23.140625" style="1079" customWidth="1"/>
    <col min="9732" max="9732" width="8" style="1079" customWidth="1"/>
    <col min="9733" max="9733" width="5.7109375" style="1079" customWidth="1"/>
    <col min="9734" max="9734" width="2.42578125" style="1079" customWidth="1"/>
    <col min="9735" max="9735" width="20.42578125" style="1079" customWidth="1"/>
    <col min="9736" max="9746" width="9.5703125" style="1079" customWidth="1"/>
    <col min="9747" max="9984" width="10.140625" style="1079"/>
    <col min="9985" max="9985" width="6.28515625" style="1079" customWidth="1"/>
    <col min="9986" max="9986" width="5.5703125" style="1079" customWidth="1"/>
    <col min="9987" max="9987" width="23.140625" style="1079" customWidth="1"/>
    <col min="9988" max="9988" width="8" style="1079" customWidth="1"/>
    <col min="9989" max="9989" width="5.7109375" style="1079" customWidth="1"/>
    <col min="9990" max="9990" width="2.42578125" style="1079" customWidth="1"/>
    <col min="9991" max="9991" width="20.42578125" style="1079" customWidth="1"/>
    <col min="9992" max="10002" width="9.5703125" style="1079" customWidth="1"/>
    <col min="10003" max="10240" width="10.140625" style="1079"/>
    <col min="10241" max="10241" width="6.28515625" style="1079" customWidth="1"/>
    <col min="10242" max="10242" width="5.5703125" style="1079" customWidth="1"/>
    <col min="10243" max="10243" width="23.140625" style="1079" customWidth="1"/>
    <col min="10244" max="10244" width="8" style="1079" customWidth="1"/>
    <col min="10245" max="10245" width="5.7109375" style="1079" customWidth="1"/>
    <col min="10246" max="10246" width="2.42578125" style="1079" customWidth="1"/>
    <col min="10247" max="10247" width="20.42578125" style="1079" customWidth="1"/>
    <col min="10248" max="10258" width="9.5703125" style="1079" customWidth="1"/>
    <col min="10259" max="10496" width="10.140625" style="1079"/>
    <col min="10497" max="10497" width="6.28515625" style="1079" customWidth="1"/>
    <col min="10498" max="10498" width="5.5703125" style="1079" customWidth="1"/>
    <col min="10499" max="10499" width="23.140625" style="1079" customWidth="1"/>
    <col min="10500" max="10500" width="8" style="1079" customWidth="1"/>
    <col min="10501" max="10501" width="5.7109375" style="1079" customWidth="1"/>
    <col min="10502" max="10502" width="2.42578125" style="1079" customWidth="1"/>
    <col min="10503" max="10503" width="20.42578125" style="1079" customWidth="1"/>
    <col min="10504" max="10514" width="9.5703125" style="1079" customWidth="1"/>
    <col min="10515" max="10752" width="10.140625" style="1079"/>
    <col min="10753" max="10753" width="6.28515625" style="1079" customWidth="1"/>
    <col min="10754" max="10754" width="5.5703125" style="1079" customWidth="1"/>
    <col min="10755" max="10755" width="23.140625" style="1079" customWidth="1"/>
    <col min="10756" max="10756" width="8" style="1079" customWidth="1"/>
    <col min="10757" max="10757" width="5.7109375" style="1079" customWidth="1"/>
    <col min="10758" max="10758" width="2.42578125" style="1079" customWidth="1"/>
    <col min="10759" max="10759" width="20.42578125" style="1079" customWidth="1"/>
    <col min="10760" max="10770" width="9.5703125" style="1079" customWidth="1"/>
    <col min="10771" max="11008" width="10.140625" style="1079"/>
    <col min="11009" max="11009" width="6.28515625" style="1079" customWidth="1"/>
    <col min="11010" max="11010" width="5.5703125" style="1079" customWidth="1"/>
    <col min="11011" max="11011" width="23.140625" style="1079" customWidth="1"/>
    <col min="11012" max="11012" width="8" style="1079" customWidth="1"/>
    <col min="11013" max="11013" width="5.7109375" style="1079" customWidth="1"/>
    <col min="11014" max="11014" width="2.42578125" style="1079" customWidth="1"/>
    <col min="11015" max="11015" width="20.42578125" style="1079" customWidth="1"/>
    <col min="11016" max="11026" width="9.5703125" style="1079" customWidth="1"/>
    <col min="11027" max="11264" width="10.140625" style="1079"/>
    <col min="11265" max="11265" width="6.28515625" style="1079" customWidth="1"/>
    <col min="11266" max="11266" width="5.5703125" style="1079" customWidth="1"/>
    <col min="11267" max="11267" width="23.140625" style="1079" customWidth="1"/>
    <col min="11268" max="11268" width="8" style="1079" customWidth="1"/>
    <col min="11269" max="11269" width="5.7109375" style="1079" customWidth="1"/>
    <col min="11270" max="11270" width="2.42578125" style="1079" customWidth="1"/>
    <col min="11271" max="11271" width="20.42578125" style="1079" customWidth="1"/>
    <col min="11272" max="11282" width="9.5703125" style="1079" customWidth="1"/>
    <col min="11283" max="11520" width="10.140625" style="1079"/>
    <col min="11521" max="11521" width="6.28515625" style="1079" customWidth="1"/>
    <col min="11522" max="11522" width="5.5703125" style="1079" customWidth="1"/>
    <col min="11523" max="11523" width="23.140625" style="1079" customWidth="1"/>
    <col min="11524" max="11524" width="8" style="1079" customWidth="1"/>
    <col min="11525" max="11525" width="5.7109375" style="1079" customWidth="1"/>
    <col min="11526" max="11526" width="2.42578125" style="1079" customWidth="1"/>
    <col min="11527" max="11527" width="20.42578125" style="1079" customWidth="1"/>
    <col min="11528" max="11538" width="9.5703125" style="1079" customWidth="1"/>
    <col min="11539" max="11776" width="10.140625" style="1079"/>
    <col min="11777" max="11777" width="6.28515625" style="1079" customWidth="1"/>
    <col min="11778" max="11778" width="5.5703125" style="1079" customWidth="1"/>
    <col min="11779" max="11779" width="23.140625" style="1079" customWidth="1"/>
    <col min="11780" max="11780" width="8" style="1079" customWidth="1"/>
    <col min="11781" max="11781" width="5.7109375" style="1079" customWidth="1"/>
    <col min="11782" max="11782" width="2.42578125" style="1079" customWidth="1"/>
    <col min="11783" max="11783" width="20.42578125" style="1079" customWidth="1"/>
    <col min="11784" max="11794" width="9.5703125" style="1079" customWidth="1"/>
    <col min="11795" max="12032" width="10.140625" style="1079"/>
    <col min="12033" max="12033" width="6.28515625" style="1079" customWidth="1"/>
    <col min="12034" max="12034" width="5.5703125" style="1079" customWidth="1"/>
    <col min="12035" max="12035" width="23.140625" style="1079" customWidth="1"/>
    <col min="12036" max="12036" width="8" style="1079" customWidth="1"/>
    <col min="12037" max="12037" width="5.7109375" style="1079" customWidth="1"/>
    <col min="12038" max="12038" width="2.42578125" style="1079" customWidth="1"/>
    <col min="12039" max="12039" width="20.42578125" style="1079" customWidth="1"/>
    <col min="12040" max="12050" width="9.5703125" style="1079" customWidth="1"/>
    <col min="12051" max="12288" width="10.140625" style="1079"/>
    <col min="12289" max="12289" width="6.28515625" style="1079" customWidth="1"/>
    <col min="12290" max="12290" width="5.5703125" style="1079" customWidth="1"/>
    <col min="12291" max="12291" width="23.140625" style="1079" customWidth="1"/>
    <col min="12292" max="12292" width="8" style="1079" customWidth="1"/>
    <col min="12293" max="12293" width="5.7109375" style="1079" customWidth="1"/>
    <col min="12294" max="12294" width="2.42578125" style="1079" customWidth="1"/>
    <col min="12295" max="12295" width="20.42578125" style="1079" customWidth="1"/>
    <col min="12296" max="12306" width="9.5703125" style="1079" customWidth="1"/>
    <col min="12307" max="12544" width="10.140625" style="1079"/>
    <col min="12545" max="12545" width="6.28515625" style="1079" customWidth="1"/>
    <col min="12546" max="12546" width="5.5703125" style="1079" customWidth="1"/>
    <col min="12547" max="12547" width="23.140625" style="1079" customWidth="1"/>
    <col min="12548" max="12548" width="8" style="1079" customWidth="1"/>
    <col min="12549" max="12549" width="5.7109375" style="1079" customWidth="1"/>
    <col min="12550" max="12550" width="2.42578125" style="1079" customWidth="1"/>
    <col min="12551" max="12551" width="20.42578125" style="1079" customWidth="1"/>
    <col min="12552" max="12562" width="9.5703125" style="1079" customWidth="1"/>
    <col min="12563" max="12800" width="10.140625" style="1079"/>
    <col min="12801" max="12801" width="6.28515625" style="1079" customWidth="1"/>
    <col min="12802" max="12802" width="5.5703125" style="1079" customWidth="1"/>
    <col min="12803" max="12803" width="23.140625" style="1079" customWidth="1"/>
    <col min="12804" max="12804" width="8" style="1079" customWidth="1"/>
    <col min="12805" max="12805" width="5.7109375" style="1079" customWidth="1"/>
    <col min="12806" max="12806" width="2.42578125" style="1079" customWidth="1"/>
    <col min="12807" max="12807" width="20.42578125" style="1079" customWidth="1"/>
    <col min="12808" max="12818" width="9.5703125" style="1079" customWidth="1"/>
    <col min="12819" max="13056" width="10.140625" style="1079"/>
    <col min="13057" max="13057" width="6.28515625" style="1079" customWidth="1"/>
    <col min="13058" max="13058" width="5.5703125" style="1079" customWidth="1"/>
    <col min="13059" max="13059" width="23.140625" style="1079" customWidth="1"/>
    <col min="13060" max="13060" width="8" style="1079" customWidth="1"/>
    <col min="13061" max="13061" width="5.7109375" style="1079" customWidth="1"/>
    <col min="13062" max="13062" width="2.42578125" style="1079" customWidth="1"/>
    <col min="13063" max="13063" width="20.42578125" style="1079" customWidth="1"/>
    <col min="13064" max="13074" width="9.5703125" style="1079" customWidth="1"/>
    <col min="13075" max="13312" width="10.140625" style="1079"/>
    <col min="13313" max="13313" width="6.28515625" style="1079" customWidth="1"/>
    <col min="13314" max="13314" width="5.5703125" style="1079" customWidth="1"/>
    <col min="13315" max="13315" width="23.140625" style="1079" customWidth="1"/>
    <col min="13316" max="13316" width="8" style="1079" customWidth="1"/>
    <col min="13317" max="13317" width="5.7109375" style="1079" customWidth="1"/>
    <col min="13318" max="13318" width="2.42578125" style="1079" customWidth="1"/>
    <col min="13319" max="13319" width="20.42578125" style="1079" customWidth="1"/>
    <col min="13320" max="13330" width="9.5703125" style="1079" customWidth="1"/>
    <col min="13331" max="13568" width="10.140625" style="1079"/>
    <col min="13569" max="13569" width="6.28515625" style="1079" customWidth="1"/>
    <col min="13570" max="13570" width="5.5703125" style="1079" customWidth="1"/>
    <col min="13571" max="13571" width="23.140625" style="1079" customWidth="1"/>
    <col min="13572" max="13572" width="8" style="1079" customWidth="1"/>
    <col min="13573" max="13573" width="5.7109375" style="1079" customWidth="1"/>
    <col min="13574" max="13574" width="2.42578125" style="1079" customWidth="1"/>
    <col min="13575" max="13575" width="20.42578125" style="1079" customWidth="1"/>
    <col min="13576" max="13586" width="9.5703125" style="1079" customWidth="1"/>
    <col min="13587" max="13824" width="10.140625" style="1079"/>
    <col min="13825" max="13825" width="6.28515625" style="1079" customWidth="1"/>
    <col min="13826" max="13826" width="5.5703125" style="1079" customWidth="1"/>
    <col min="13827" max="13827" width="23.140625" style="1079" customWidth="1"/>
    <col min="13828" max="13828" width="8" style="1079" customWidth="1"/>
    <col min="13829" max="13829" width="5.7109375" style="1079" customWidth="1"/>
    <col min="13830" max="13830" width="2.42578125" style="1079" customWidth="1"/>
    <col min="13831" max="13831" width="20.42578125" style="1079" customWidth="1"/>
    <col min="13832" max="13842" width="9.5703125" style="1079" customWidth="1"/>
    <col min="13843" max="14080" width="10.140625" style="1079"/>
    <col min="14081" max="14081" width="6.28515625" style="1079" customWidth="1"/>
    <col min="14082" max="14082" width="5.5703125" style="1079" customWidth="1"/>
    <col min="14083" max="14083" width="23.140625" style="1079" customWidth="1"/>
    <col min="14084" max="14084" width="8" style="1079" customWidth="1"/>
    <col min="14085" max="14085" width="5.7109375" style="1079" customWidth="1"/>
    <col min="14086" max="14086" width="2.42578125" style="1079" customWidth="1"/>
    <col min="14087" max="14087" width="20.42578125" style="1079" customWidth="1"/>
    <col min="14088" max="14098" width="9.5703125" style="1079" customWidth="1"/>
    <col min="14099" max="14336" width="10.140625" style="1079"/>
    <col min="14337" max="14337" width="6.28515625" style="1079" customWidth="1"/>
    <col min="14338" max="14338" width="5.5703125" style="1079" customWidth="1"/>
    <col min="14339" max="14339" width="23.140625" style="1079" customWidth="1"/>
    <col min="14340" max="14340" width="8" style="1079" customWidth="1"/>
    <col min="14341" max="14341" width="5.7109375" style="1079" customWidth="1"/>
    <col min="14342" max="14342" width="2.42578125" style="1079" customWidth="1"/>
    <col min="14343" max="14343" width="20.42578125" style="1079" customWidth="1"/>
    <col min="14344" max="14354" width="9.5703125" style="1079" customWidth="1"/>
    <col min="14355" max="14592" width="10.140625" style="1079"/>
    <col min="14593" max="14593" width="6.28515625" style="1079" customWidth="1"/>
    <col min="14594" max="14594" width="5.5703125" style="1079" customWidth="1"/>
    <col min="14595" max="14595" width="23.140625" style="1079" customWidth="1"/>
    <col min="14596" max="14596" width="8" style="1079" customWidth="1"/>
    <col min="14597" max="14597" width="5.7109375" style="1079" customWidth="1"/>
    <col min="14598" max="14598" width="2.42578125" style="1079" customWidth="1"/>
    <col min="14599" max="14599" width="20.42578125" style="1079" customWidth="1"/>
    <col min="14600" max="14610" width="9.5703125" style="1079" customWidth="1"/>
    <col min="14611" max="14848" width="10.140625" style="1079"/>
    <col min="14849" max="14849" width="6.28515625" style="1079" customWidth="1"/>
    <col min="14850" max="14850" width="5.5703125" style="1079" customWidth="1"/>
    <col min="14851" max="14851" width="23.140625" style="1079" customWidth="1"/>
    <col min="14852" max="14852" width="8" style="1079" customWidth="1"/>
    <col min="14853" max="14853" width="5.7109375" style="1079" customWidth="1"/>
    <col min="14854" max="14854" width="2.42578125" style="1079" customWidth="1"/>
    <col min="14855" max="14855" width="20.42578125" style="1079" customWidth="1"/>
    <col min="14856" max="14866" width="9.5703125" style="1079" customWidth="1"/>
    <col min="14867" max="15104" width="10.140625" style="1079"/>
    <col min="15105" max="15105" width="6.28515625" style="1079" customWidth="1"/>
    <col min="15106" max="15106" width="5.5703125" style="1079" customWidth="1"/>
    <col min="15107" max="15107" width="23.140625" style="1079" customWidth="1"/>
    <col min="15108" max="15108" width="8" style="1079" customWidth="1"/>
    <col min="15109" max="15109" width="5.7109375" style="1079" customWidth="1"/>
    <col min="15110" max="15110" width="2.42578125" style="1079" customWidth="1"/>
    <col min="15111" max="15111" width="20.42578125" style="1079" customWidth="1"/>
    <col min="15112" max="15122" width="9.5703125" style="1079" customWidth="1"/>
    <col min="15123" max="15360" width="10.140625" style="1079"/>
    <col min="15361" max="15361" width="6.28515625" style="1079" customWidth="1"/>
    <col min="15362" max="15362" width="5.5703125" style="1079" customWidth="1"/>
    <col min="15363" max="15363" width="23.140625" style="1079" customWidth="1"/>
    <col min="15364" max="15364" width="8" style="1079" customWidth="1"/>
    <col min="15365" max="15365" width="5.7109375" style="1079" customWidth="1"/>
    <col min="15366" max="15366" width="2.42578125" style="1079" customWidth="1"/>
    <col min="15367" max="15367" width="20.42578125" style="1079" customWidth="1"/>
    <col min="15368" max="15378" width="9.5703125" style="1079" customWidth="1"/>
    <col min="15379" max="15616" width="10.140625" style="1079"/>
    <col min="15617" max="15617" width="6.28515625" style="1079" customWidth="1"/>
    <col min="15618" max="15618" width="5.5703125" style="1079" customWidth="1"/>
    <col min="15619" max="15619" width="23.140625" style="1079" customWidth="1"/>
    <col min="15620" max="15620" width="8" style="1079" customWidth="1"/>
    <col min="15621" max="15621" width="5.7109375" style="1079" customWidth="1"/>
    <col min="15622" max="15622" width="2.42578125" style="1079" customWidth="1"/>
    <col min="15623" max="15623" width="20.42578125" style="1079" customWidth="1"/>
    <col min="15624" max="15634" width="9.5703125" style="1079" customWidth="1"/>
    <col min="15635" max="15872" width="10.140625" style="1079"/>
    <col min="15873" max="15873" width="6.28515625" style="1079" customWidth="1"/>
    <col min="15874" max="15874" width="5.5703125" style="1079" customWidth="1"/>
    <col min="15875" max="15875" width="23.140625" style="1079" customWidth="1"/>
    <col min="15876" max="15876" width="8" style="1079" customWidth="1"/>
    <col min="15877" max="15877" width="5.7109375" style="1079" customWidth="1"/>
    <col min="15878" max="15878" width="2.42578125" style="1079" customWidth="1"/>
    <col min="15879" max="15879" width="20.42578125" style="1079" customWidth="1"/>
    <col min="15880" max="15890" width="9.5703125" style="1079" customWidth="1"/>
    <col min="15891" max="16128" width="10.140625" style="1079"/>
    <col min="16129" max="16129" width="6.28515625" style="1079" customWidth="1"/>
    <col min="16130" max="16130" width="5.5703125" style="1079" customWidth="1"/>
    <col min="16131" max="16131" width="23.140625" style="1079" customWidth="1"/>
    <col min="16132" max="16132" width="8" style="1079" customWidth="1"/>
    <col min="16133" max="16133" width="5.7109375" style="1079" customWidth="1"/>
    <col min="16134" max="16134" width="2.42578125" style="1079" customWidth="1"/>
    <col min="16135" max="16135" width="20.42578125" style="1079" customWidth="1"/>
    <col min="16136" max="16146" width="9.5703125" style="1079" customWidth="1"/>
    <col min="16147" max="16384" width="10.140625" style="1079"/>
  </cols>
  <sheetData>
    <row r="1" spans="1:18" x14ac:dyDescent="0.2">
      <c r="A1" s="1076"/>
      <c r="C1" s="1078"/>
      <c r="D1" s="1078"/>
      <c r="E1" s="1076"/>
      <c r="F1" s="1076"/>
      <c r="G1" s="1079"/>
    </row>
    <row r="2" spans="1:18" x14ac:dyDescent="0.2">
      <c r="A2" s="1078" t="s">
        <v>0</v>
      </c>
      <c r="B2" s="1080" t="s">
        <v>1</v>
      </c>
      <c r="C2" s="1078" t="s">
        <v>2</v>
      </c>
      <c r="D2" s="1078"/>
      <c r="E2" s="1076" t="s">
        <v>3</v>
      </c>
      <c r="F2" s="1076"/>
      <c r="G2" s="1081" t="s">
        <v>504</v>
      </c>
      <c r="H2" s="1082" t="s">
        <v>505</v>
      </c>
      <c r="I2" s="1083"/>
      <c r="J2" s="1084"/>
      <c r="K2" s="1299" t="s">
        <v>6</v>
      </c>
      <c r="L2" s="1299"/>
      <c r="M2" s="1300" t="s">
        <v>506</v>
      </c>
      <c r="N2" s="1300"/>
      <c r="O2" s="1300"/>
      <c r="P2" s="1300"/>
      <c r="Q2" s="1300"/>
      <c r="R2" s="1300"/>
    </row>
    <row r="3" spans="1:18" x14ac:dyDescent="0.2">
      <c r="A3" s="1076"/>
      <c r="B3" s="1085"/>
      <c r="C3" s="1078" t="s">
        <v>454</v>
      </c>
      <c r="D3" s="1078"/>
      <c r="E3" s="1076"/>
      <c r="F3" s="1076"/>
      <c r="G3" s="1086" t="s">
        <v>7</v>
      </c>
      <c r="H3" s="1087">
        <v>40908</v>
      </c>
      <c r="I3" s="1087">
        <v>41274</v>
      </c>
      <c r="J3" s="1087">
        <v>41639</v>
      </c>
      <c r="K3" s="1087">
        <v>42004</v>
      </c>
      <c r="L3" s="1087">
        <v>42369</v>
      </c>
      <c r="M3" s="1087">
        <v>42735</v>
      </c>
      <c r="N3" s="1087">
        <v>43100</v>
      </c>
      <c r="O3" s="1087">
        <v>43465</v>
      </c>
      <c r="P3" s="1087">
        <v>43830</v>
      </c>
      <c r="Q3" s="1087">
        <v>44196</v>
      </c>
      <c r="R3" s="1087">
        <v>44561</v>
      </c>
    </row>
    <row r="4" spans="1:18" x14ac:dyDescent="0.2">
      <c r="A4" s="1088"/>
      <c r="B4" s="1077" t="s">
        <v>8</v>
      </c>
      <c r="C4" s="1078">
        <v>1</v>
      </c>
      <c r="D4" s="1078"/>
      <c r="E4" s="1080"/>
      <c r="F4" s="1088"/>
      <c r="G4" s="1089" t="s">
        <v>9</v>
      </c>
      <c r="H4" s="1090">
        <f t="shared" ref="H4:R4" si="0">H5+H10</f>
        <v>274.15699999999998</v>
      </c>
      <c r="I4" s="1090">
        <f t="shared" si="0"/>
        <v>105.22400000000002</v>
      </c>
      <c r="J4" s="1090">
        <f t="shared" si="0"/>
        <v>29.085000000000001</v>
      </c>
      <c r="K4" s="1090">
        <f t="shared" si="0"/>
        <v>40.131999999999998</v>
      </c>
      <c r="L4" s="1090">
        <f t="shared" si="0"/>
        <v>27.113</v>
      </c>
      <c r="M4" s="1090">
        <f t="shared" si="0"/>
        <v>24</v>
      </c>
      <c r="N4" s="1090">
        <f t="shared" si="0"/>
        <v>126</v>
      </c>
      <c r="O4" s="1090">
        <f t="shared" si="0"/>
        <v>726</v>
      </c>
      <c r="P4" s="1090">
        <f t="shared" si="0"/>
        <v>25</v>
      </c>
      <c r="Q4" s="1090">
        <f t="shared" si="0"/>
        <v>29</v>
      </c>
      <c r="R4" s="1090">
        <f t="shared" si="0"/>
        <v>28</v>
      </c>
    </row>
    <row r="5" spans="1:18" x14ac:dyDescent="0.2">
      <c r="B5" s="1077" t="s">
        <v>10</v>
      </c>
      <c r="C5" s="1078">
        <v>10</v>
      </c>
      <c r="D5" s="1078"/>
      <c r="G5" s="1093" t="s">
        <v>11</v>
      </c>
      <c r="H5" s="1090">
        <f t="shared" ref="H5:Q5" si="1">SUM(H6:H9)</f>
        <v>265.30799999999999</v>
      </c>
      <c r="I5" s="1090">
        <f t="shared" si="1"/>
        <v>97.297000000000011</v>
      </c>
      <c r="J5" s="1090">
        <f t="shared" si="1"/>
        <v>19.045999999999999</v>
      </c>
      <c r="K5" s="1090">
        <f t="shared" si="1"/>
        <v>34.048999999999999</v>
      </c>
      <c r="L5" s="1090">
        <f t="shared" si="1"/>
        <v>21.952999999999999</v>
      </c>
      <c r="M5" s="1090">
        <f t="shared" si="1"/>
        <v>19</v>
      </c>
      <c r="N5" s="1090">
        <f t="shared" si="1"/>
        <v>121</v>
      </c>
      <c r="O5" s="1090">
        <f t="shared" si="1"/>
        <v>721</v>
      </c>
      <c r="P5" s="1090">
        <f t="shared" si="1"/>
        <v>21</v>
      </c>
      <c r="Q5" s="1090">
        <f t="shared" si="1"/>
        <v>25</v>
      </c>
      <c r="R5" s="1090">
        <f>SUM(R6:R9)</f>
        <v>25</v>
      </c>
    </row>
    <row r="6" spans="1:18" ht="12" x14ac:dyDescent="0.2">
      <c r="B6" s="1077" t="s">
        <v>12</v>
      </c>
      <c r="C6" s="1094" t="s">
        <v>13</v>
      </c>
      <c r="E6" s="1095" t="s">
        <v>14</v>
      </c>
      <c r="G6" s="1093" t="s">
        <v>15</v>
      </c>
      <c r="H6" s="1096">
        <v>14.759</v>
      </c>
      <c r="I6" s="1096">
        <v>21.986000000000001</v>
      </c>
      <c r="J6" s="1096">
        <v>15.643000000000001</v>
      </c>
      <c r="K6" s="1096">
        <v>27.3</v>
      </c>
      <c r="L6" s="1096">
        <v>14.869</v>
      </c>
      <c r="M6" s="1096">
        <v>15</v>
      </c>
      <c r="N6" s="1096">
        <v>116</v>
      </c>
      <c r="O6" s="1096">
        <v>716</v>
      </c>
      <c r="P6" s="1096">
        <v>16</v>
      </c>
      <c r="Q6" s="1096">
        <v>19</v>
      </c>
      <c r="R6" s="1096">
        <f>Q6</f>
        <v>19</v>
      </c>
    </row>
    <row r="7" spans="1:18" ht="12" x14ac:dyDescent="0.2">
      <c r="B7" s="1077" t="s">
        <v>16</v>
      </c>
      <c r="C7" s="1094" t="s">
        <v>17</v>
      </c>
      <c r="E7" s="1095" t="s">
        <v>14</v>
      </c>
      <c r="G7" s="1093" t="s">
        <v>18</v>
      </c>
      <c r="H7" s="1096">
        <v>250.01499999999999</v>
      </c>
      <c r="I7" s="1096">
        <v>74.777000000000001</v>
      </c>
      <c r="J7" s="1096">
        <v>2.8690000000000002</v>
      </c>
      <c r="K7" s="1096">
        <v>6.2439999999999998</v>
      </c>
      <c r="L7" s="1096">
        <v>6.5789999999999997</v>
      </c>
      <c r="M7" s="1096">
        <v>4</v>
      </c>
      <c r="N7" s="1096">
        <v>5</v>
      </c>
      <c r="O7" s="1096">
        <v>5</v>
      </c>
      <c r="P7" s="1096">
        <v>5</v>
      </c>
      <c r="Q7" s="1096">
        <v>6</v>
      </c>
      <c r="R7" s="1096">
        <f>Q7</f>
        <v>6</v>
      </c>
    </row>
    <row r="8" spans="1:18" ht="12" x14ac:dyDescent="0.2">
      <c r="B8" s="1077" t="s">
        <v>19</v>
      </c>
      <c r="C8" s="1094" t="s">
        <v>20</v>
      </c>
      <c r="E8" s="1095" t="s">
        <v>14</v>
      </c>
      <c r="G8" s="1093" t="s">
        <v>21</v>
      </c>
      <c r="H8" s="1096">
        <v>0</v>
      </c>
      <c r="I8" s="1096">
        <v>0</v>
      </c>
      <c r="J8" s="1096">
        <v>0</v>
      </c>
      <c r="K8" s="1096">
        <v>0</v>
      </c>
      <c r="L8" s="1096">
        <v>0</v>
      </c>
      <c r="M8" s="1096">
        <v>0</v>
      </c>
      <c r="N8" s="1096">
        <v>0</v>
      </c>
      <c r="O8" s="1096">
        <v>0</v>
      </c>
      <c r="P8" s="1096">
        <v>0</v>
      </c>
      <c r="Q8" s="1096">
        <v>0</v>
      </c>
      <c r="R8" s="1096">
        <v>0</v>
      </c>
    </row>
    <row r="9" spans="1:18" x14ac:dyDescent="0.2">
      <c r="B9" s="1077" t="s">
        <v>22</v>
      </c>
      <c r="C9" s="1094">
        <v>108</v>
      </c>
      <c r="E9" s="1097"/>
      <c r="G9" s="1093" t="s">
        <v>23</v>
      </c>
      <c r="H9" s="1096">
        <v>0.53400000000000003</v>
      </c>
      <c r="I9" s="1096">
        <v>0.53400000000000003</v>
      </c>
      <c r="J9" s="1096">
        <v>0.53400000000000003</v>
      </c>
      <c r="K9" s="1096">
        <v>0.505</v>
      </c>
      <c r="L9" s="1096">
        <v>0.505</v>
      </c>
      <c r="M9" s="1096">
        <v>0</v>
      </c>
      <c r="N9" s="1096">
        <v>0</v>
      </c>
      <c r="O9" s="1096">
        <v>0</v>
      </c>
      <c r="P9" s="1096">
        <v>0</v>
      </c>
      <c r="Q9" s="1096">
        <v>0</v>
      </c>
      <c r="R9" s="1096">
        <v>0</v>
      </c>
    </row>
    <row r="10" spans="1:18" x14ac:dyDescent="0.2">
      <c r="A10" s="1098"/>
      <c r="B10" s="1077" t="s">
        <v>24</v>
      </c>
      <c r="C10" s="1099">
        <v>15</v>
      </c>
      <c r="D10" s="1099"/>
      <c r="E10" s="1097"/>
      <c r="F10" s="1098"/>
      <c r="G10" s="1093" t="s">
        <v>25</v>
      </c>
      <c r="H10" s="1090">
        <f>SUM(H11:H16)</f>
        <v>8.8490000000000002</v>
      </c>
      <c r="I10" s="1090">
        <f t="shared" ref="I10:R10" si="2">SUM(I11:I16)</f>
        <v>7.9269999999999996</v>
      </c>
      <c r="J10" s="1090">
        <f t="shared" si="2"/>
        <v>10.039</v>
      </c>
      <c r="K10" s="1090">
        <f t="shared" si="2"/>
        <v>6.0830000000000002</v>
      </c>
      <c r="L10" s="1090">
        <f t="shared" si="2"/>
        <v>5.16</v>
      </c>
      <c r="M10" s="1090">
        <f t="shared" si="2"/>
        <v>5</v>
      </c>
      <c r="N10" s="1090">
        <f t="shared" si="2"/>
        <v>5</v>
      </c>
      <c r="O10" s="1090">
        <f t="shared" si="2"/>
        <v>5</v>
      </c>
      <c r="P10" s="1090">
        <f t="shared" si="2"/>
        <v>4</v>
      </c>
      <c r="Q10" s="1090">
        <f t="shared" si="2"/>
        <v>4</v>
      </c>
      <c r="R10" s="1090">
        <f t="shared" si="2"/>
        <v>3</v>
      </c>
    </row>
    <row r="11" spans="1:18" ht="12" x14ac:dyDescent="0.2">
      <c r="A11" s="1098"/>
      <c r="B11" s="1077" t="s">
        <v>26</v>
      </c>
      <c r="C11" s="1099">
        <v>150</v>
      </c>
      <c r="D11" s="1099"/>
      <c r="E11" s="1095" t="s">
        <v>14</v>
      </c>
      <c r="F11" s="1098"/>
      <c r="G11" s="1093" t="s">
        <v>27</v>
      </c>
      <c r="H11" s="1096">
        <v>0</v>
      </c>
      <c r="I11" s="1096">
        <v>0</v>
      </c>
      <c r="J11" s="1096">
        <v>0</v>
      </c>
      <c r="K11" s="1096">
        <v>0</v>
      </c>
      <c r="L11" s="1096">
        <v>0</v>
      </c>
      <c r="M11" s="1096">
        <v>0</v>
      </c>
      <c r="N11" s="1096">
        <v>0</v>
      </c>
      <c r="O11" s="1096">
        <v>0</v>
      </c>
      <c r="P11" s="1096">
        <v>0</v>
      </c>
      <c r="Q11" s="1096">
        <v>0</v>
      </c>
      <c r="R11" s="1096">
        <v>0</v>
      </c>
    </row>
    <row r="12" spans="1:18" ht="12" x14ac:dyDescent="0.2">
      <c r="A12" s="1098"/>
      <c r="B12" s="1077" t="s">
        <v>28</v>
      </c>
      <c r="C12" s="1099">
        <v>151</v>
      </c>
      <c r="D12" s="1099"/>
      <c r="E12" s="1095" t="s">
        <v>14</v>
      </c>
      <c r="F12" s="1098"/>
      <c r="G12" s="1093" t="s">
        <v>29</v>
      </c>
      <c r="H12" s="1096">
        <v>0</v>
      </c>
      <c r="I12" s="1096">
        <v>0</v>
      </c>
      <c r="J12" s="1096">
        <v>0</v>
      </c>
      <c r="K12" s="1096">
        <v>0</v>
      </c>
      <c r="L12" s="1096">
        <v>0</v>
      </c>
      <c r="M12" s="1096">
        <v>0</v>
      </c>
      <c r="N12" s="1096">
        <v>0</v>
      </c>
      <c r="O12" s="1096">
        <v>0</v>
      </c>
      <c r="P12" s="1096">
        <v>0</v>
      </c>
      <c r="Q12" s="1096">
        <v>0</v>
      </c>
      <c r="R12" s="1096">
        <v>0</v>
      </c>
    </row>
    <row r="13" spans="1:18" ht="12" x14ac:dyDescent="0.2">
      <c r="B13" s="1077" t="s">
        <v>30</v>
      </c>
      <c r="C13" s="1094" t="s">
        <v>31</v>
      </c>
      <c r="E13" s="1095" t="s">
        <v>14</v>
      </c>
      <c r="G13" s="1093" t="s">
        <v>32</v>
      </c>
      <c r="H13" s="1096">
        <v>0.13300000000000001</v>
      </c>
      <c r="I13" s="1096">
        <v>0.13300000000000001</v>
      </c>
      <c r="J13" s="1096">
        <v>3.1669999999999998</v>
      </c>
      <c r="K13" s="1096">
        <v>0.13300000000000001</v>
      </c>
      <c r="L13" s="1096">
        <v>0.13300000000000001</v>
      </c>
      <c r="M13" s="1096">
        <v>1</v>
      </c>
      <c r="N13" s="1096">
        <f>M13</f>
        <v>1</v>
      </c>
      <c r="O13" s="1096">
        <v>1</v>
      </c>
      <c r="P13" s="1096">
        <v>1</v>
      </c>
      <c r="Q13" s="1096">
        <v>1</v>
      </c>
      <c r="R13" s="1096">
        <f>Q13</f>
        <v>1</v>
      </c>
    </row>
    <row r="14" spans="1:18" ht="12" x14ac:dyDescent="0.2">
      <c r="B14" s="1077" t="s">
        <v>33</v>
      </c>
      <c r="C14" s="1094">
        <v>154</v>
      </c>
      <c r="E14" s="1095" t="s">
        <v>14</v>
      </c>
      <c r="G14" s="1093" t="s">
        <v>34</v>
      </c>
      <c r="H14" s="1096">
        <v>0</v>
      </c>
      <c r="I14" s="1096">
        <v>0</v>
      </c>
      <c r="J14" s="1096">
        <v>0</v>
      </c>
      <c r="K14" s="1096">
        <v>0</v>
      </c>
      <c r="L14" s="1096">
        <v>0</v>
      </c>
      <c r="M14" s="1096">
        <v>4</v>
      </c>
      <c r="N14" s="1096">
        <f>M14</f>
        <v>4</v>
      </c>
      <c r="O14" s="1096">
        <v>4</v>
      </c>
      <c r="P14" s="1096">
        <v>3</v>
      </c>
      <c r="Q14" s="1096">
        <v>3</v>
      </c>
      <c r="R14" s="1096">
        <v>2</v>
      </c>
    </row>
    <row r="15" spans="1:18" ht="12" x14ac:dyDescent="0.2">
      <c r="B15" s="1077" t="s">
        <v>35</v>
      </c>
      <c r="C15" s="1094" t="s">
        <v>36</v>
      </c>
      <c r="E15" s="1095" t="s">
        <v>14</v>
      </c>
      <c r="G15" s="1093" t="s">
        <v>37</v>
      </c>
      <c r="H15" s="1096">
        <v>8.7159999999999993</v>
      </c>
      <c r="I15" s="1096">
        <v>7.7939999999999996</v>
      </c>
      <c r="J15" s="1096">
        <v>6.8719999999999999</v>
      </c>
      <c r="K15" s="1096">
        <v>5.95</v>
      </c>
      <c r="L15" s="1096">
        <v>5.0270000000000001</v>
      </c>
      <c r="M15" s="1096">
        <v>0</v>
      </c>
      <c r="N15" s="1096">
        <v>0</v>
      </c>
      <c r="O15" s="1096">
        <v>0</v>
      </c>
      <c r="P15" s="1096">
        <v>0</v>
      </c>
      <c r="Q15" s="1096">
        <v>0</v>
      </c>
      <c r="R15" s="1096">
        <v>0</v>
      </c>
    </row>
    <row r="16" spans="1:18" ht="12" x14ac:dyDescent="0.2">
      <c r="B16" s="1077" t="s">
        <v>38</v>
      </c>
      <c r="C16" s="1094">
        <v>157</v>
      </c>
      <c r="E16" s="1095" t="s">
        <v>14</v>
      </c>
      <c r="G16" s="1093" t="s">
        <v>39</v>
      </c>
      <c r="H16" s="1096">
        <v>0</v>
      </c>
      <c r="I16" s="1096">
        <v>0</v>
      </c>
      <c r="J16" s="1096">
        <v>0</v>
      </c>
      <c r="K16" s="1096">
        <v>0</v>
      </c>
      <c r="L16" s="1096">
        <v>0</v>
      </c>
      <c r="M16" s="1096">
        <v>0</v>
      </c>
      <c r="N16" s="1096">
        <v>0</v>
      </c>
      <c r="O16" s="1096">
        <v>0</v>
      </c>
      <c r="P16" s="1096">
        <v>0</v>
      </c>
      <c r="Q16" s="1096">
        <v>0</v>
      </c>
      <c r="R16" s="1096">
        <v>0</v>
      </c>
    </row>
    <row r="17" spans="1:19" s="1104" customFormat="1" ht="12" x14ac:dyDescent="0.2">
      <c r="A17" s="1100"/>
      <c r="B17" s="1077" t="s">
        <v>40</v>
      </c>
      <c r="C17" s="1100" t="s">
        <v>41</v>
      </c>
      <c r="D17" s="1100"/>
      <c r="E17" s="1095" t="s">
        <v>14</v>
      </c>
      <c r="F17" s="1101"/>
      <c r="G17" s="1102" t="s">
        <v>42</v>
      </c>
      <c r="H17" s="1103">
        <v>0</v>
      </c>
      <c r="I17" s="1103">
        <v>0</v>
      </c>
      <c r="J17" s="1103">
        <v>0</v>
      </c>
      <c r="K17" s="1103">
        <v>0</v>
      </c>
      <c r="L17" s="1103">
        <v>0</v>
      </c>
      <c r="M17" s="1103">
        <v>0</v>
      </c>
      <c r="N17" s="1103">
        <v>0</v>
      </c>
      <c r="O17" s="1103">
        <v>0</v>
      </c>
      <c r="P17" s="1103">
        <v>0</v>
      </c>
      <c r="Q17" s="1103">
        <v>0</v>
      </c>
      <c r="R17" s="1103">
        <v>0</v>
      </c>
      <c r="S17" s="1079"/>
    </row>
    <row r="18" spans="1:19" x14ac:dyDescent="0.2">
      <c r="B18" s="1077" t="s">
        <v>43</v>
      </c>
      <c r="C18" s="1094">
        <v>2</v>
      </c>
      <c r="E18" s="1097"/>
      <c r="G18" s="1093" t="s">
        <v>44</v>
      </c>
      <c r="H18" s="1090">
        <f>H19+H27</f>
        <v>274.15600000000001</v>
      </c>
      <c r="I18" s="1090">
        <f t="shared" ref="I18:R18" si="3">I19+I27</f>
        <v>105.224</v>
      </c>
      <c r="J18" s="1090">
        <f t="shared" si="3"/>
        <v>29.084000000000003</v>
      </c>
      <c r="K18" s="1090">
        <f t="shared" si="3"/>
        <v>40.132000000000005</v>
      </c>
      <c r="L18" s="1090">
        <f t="shared" si="3"/>
        <v>27.111999999999998</v>
      </c>
      <c r="M18" s="1090">
        <f t="shared" si="3"/>
        <v>24</v>
      </c>
      <c r="N18" s="1090">
        <f t="shared" si="3"/>
        <v>126</v>
      </c>
      <c r="O18" s="1090">
        <f t="shared" si="3"/>
        <v>726</v>
      </c>
      <c r="P18" s="1090">
        <f t="shared" si="3"/>
        <v>25</v>
      </c>
      <c r="Q18" s="1090">
        <f t="shared" si="3"/>
        <v>29</v>
      </c>
      <c r="R18" s="1090">
        <f t="shared" si="3"/>
        <v>28</v>
      </c>
    </row>
    <row r="19" spans="1:19" x14ac:dyDescent="0.2">
      <c r="B19" s="1077" t="s">
        <v>45</v>
      </c>
      <c r="C19" s="1094" t="s">
        <v>46</v>
      </c>
      <c r="E19" s="1097"/>
      <c r="G19" s="1093" t="s">
        <v>47</v>
      </c>
      <c r="H19" s="1090">
        <f>SUM(H21:H26)</f>
        <v>262.08199999999999</v>
      </c>
      <c r="I19" s="1090">
        <f t="shared" ref="I19:R19" si="4">SUM(I21:I26)</f>
        <v>88.819000000000003</v>
      </c>
      <c r="J19" s="1090">
        <f t="shared" si="4"/>
        <v>11.926</v>
      </c>
      <c r="K19" s="1090">
        <f t="shared" si="4"/>
        <v>17.234999999999999</v>
      </c>
      <c r="L19" s="1090">
        <f t="shared" si="4"/>
        <v>7.1589999999999998</v>
      </c>
      <c r="M19" s="1090">
        <f t="shared" si="4"/>
        <v>6</v>
      </c>
      <c r="N19" s="1090">
        <f t="shared" si="4"/>
        <v>6</v>
      </c>
      <c r="O19" s="1090">
        <f t="shared" si="4"/>
        <v>6</v>
      </c>
      <c r="P19" s="1090">
        <f t="shared" si="4"/>
        <v>6</v>
      </c>
      <c r="Q19" s="1090">
        <f t="shared" si="4"/>
        <v>6</v>
      </c>
      <c r="R19" s="1090">
        <f t="shared" si="4"/>
        <v>6</v>
      </c>
    </row>
    <row r="20" spans="1:19" s="1107" customFormat="1" ht="12" x14ac:dyDescent="0.2">
      <c r="A20" s="1105"/>
      <c r="B20" s="1077" t="s">
        <v>48</v>
      </c>
      <c r="C20" s="1100" t="s">
        <v>49</v>
      </c>
      <c r="D20" s="1100"/>
      <c r="E20" s="1095" t="s">
        <v>14</v>
      </c>
      <c r="F20" s="1105"/>
      <c r="G20" s="1102" t="s">
        <v>50</v>
      </c>
      <c r="H20" s="1106">
        <v>262.08199999999999</v>
      </c>
      <c r="I20" s="1106">
        <v>88.819000000000003</v>
      </c>
      <c r="J20" s="1106">
        <v>11.926</v>
      </c>
      <c r="K20" s="1106">
        <v>17.234999999999999</v>
      </c>
      <c r="L20" s="1106">
        <v>7.1589999999999998</v>
      </c>
      <c r="M20" s="1106">
        <v>0</v>
      </c>
      <c r="N20" s="1106">
        <v>0</v>
      </c>
      <c r="O20" s="1106">
        <v>0</v>
      </c>
      <c r="P20" s="1106">
        <v>0</v>
      </c>
      <c r="Q20" s="1106">
        <v>0</v>
      </c>
      <c r="R20" s="1106">
        <v>0</v>
      </c>
    </row>
    <row r="21" spans="1:19" ht="12" x14ac:dyDescent="0.2">
      <c r="B21" s="1077" t="s">
        <v>51</v>
      </c>
      <c r="C21" s="1108" t="s">
        <v>52</v>
      </c>
      <c r="D21" s="1108"/>
      <c r="E21" s="1095" t="s">
        <v>14</v>
      </c>
      <c r="G21" s="1093" t="s">
        <v>53</v>
      </c>
      <c r="H21" s="1096">
        <f>4.985+9.488+1.307</f>
        <v>15.78</v>
      </c>
      <c r="I21" s="1096">
        <f>10.956+2.49+2.373</f>
        <v>15.818999999999999</v>
      </c>
      <c r="J21" s="1096">
        <v>11.926</v>
      </c>
      <c r="K21" s="1096">
        <v>17.234999999999999</v>
      </c>
      <c r="L21" s="1096">
        <v>7.1589999999999998</v>
      </c>
      <c r="M21" s="1096">
        <v>6</v>
      </c>
      <c r="N21" s="1096">
        <f>M21</f>
        <v>6</v>
      </c>
      <c r="O21" s="1096">
        <v>6</v>
      </c>
      <c r="P21" s="1096">
        <v>6</v>
      </c>
      <c r="Q21" s="1096">
        <v>6</v>
      </c>
      <c r="R21" s="1096">
        <f>Q21</f>
        <v>6</v>
      </c>
    </row>
    <row r="22" spans="1:19" ht="12" x14ac:dyDescent="0.2">
      <c r="B22" s="1077" t="s">
        <v>54</v>
      </c>
      <c r="C22" s="1094" t="s">
        <v>55</v>
      </c>
      <c r="E22" s="1095" t="s">
        <v>14</v>
      </c>
      <c r="G22" s="1093" t="s">
        <v>56</v>
      </c>
      <c r="H22" s="1096">
        <v>0</v>
      </c>
      <c r="I22" s="1096">
        <v>0</v>
      </c>
      <c r="J22" s="1096">
        <v>0</v>
      </c>
      <c r="K22" s="1096">
        <v>0</v>
      </c>
      <c r="L22" s="1096">
        <v>0</v>
      </c>
      <c r="M22" s="1096">
        <v>0</v>
      </c>
      <c r="N22" s="1096">
        <v>0</v>
      </c>
      <c r="O22" s="1096">
        <v>0</v>
      </c>
      <c r="P22" s="1096">
        <v>0</v>
      </c>
      <c r="Q22" s="1096">
        <v>0</v>
      </c>
      <c r="R22" s="1096">
        <v>0</v>
      </c>
    </row>
    <row r="23" spans="1:19" ht="12" x14ac:dyDescent="0.2">
      <c r="B23" s="1077" t="s">
        <v>57</v>
      </c>
      <c r="C23" s="1094">
        <v>257</v>
      </c>
      <c r="E23" s="1095" t="s">
        <v>14</v>
      </c>
      <c r="G23" s="1093" t="s">
        <v>58</v>
      </c>
      <c r="H23" s="1096">
        <v>0</v>
      </c>
      <c r="I23" s="1096">
        <v>0</v>
      </c>
      <c r="J23" s="1096">
        <v>0</v>
      </c>
      <c r="K23" s="1096">
        <v>0</v>
      </c>
      <c r="L23" s="1096">
        <v>0</v>
      </c>
      <c r="M23" s="1096">
        <v>0</v>
      </c>
      <c r="N23" s="1096">
        <v>0</v>
      </c>
      <c r="O23" s="1096">
        <v>0</v>
      </c>
      <c r="P23" s="1096">
        <v>0</v>
      </c>
      <c r="Q23" s="1096">
        <v>0</v>
      </c>
      <c r="R23" s="1096">
        <v>0</v>
      </c>
    </row>
    <row r="24" spans="1:19" ht="12" x14ac:dyDescent="0.2">
      <c r="A24" s="1109"/>
      <c r="B24" s="1077" t="s">
        <v>59</v>
      </c>
      <c r="C24" s="1094" t="s">
        <v>60</v>
      </c>
      <c r="E24" s="1095" t="s">
        <v>14</v>
      </c>
      <c r="F24" s="1109"/>
      <c r="G24" s="1093" t="s">
        <v>61</v>
      </c>
      <c r="H24" s="1096">
        <v>246.30199999999999</v>
      </c>
      <c r="I24" s="1096">
        <v>73</v>
      </c>
      <c r="J24" s="1096">
        <v>0</v>
      </c>
      <c r="K24" s="1096">
        <v>0</v>
      </c>
      <c r="L24" s="1096">
        <v>0</v>
      </c>
      <c r="M24" s="1096">
        <v>0</v>
      </c>
      <c r="N24" s="1096">
        <v>0</v>
      </c>
      <c r="O24" s="1096">
        <v>0</v>
      </c>
      <c r="P24" s="1096">
        <v>0</v>
      </c>
      <c r="Q24" s="1096">
        <v>0</v>
      </c>
      <c r="R24" s="1096">
        <v>0</v>
      </c>
    </row>
    <row r="25" spans="1:19" ht="12" x14ac:dyDescent="0.2">
      <c r="A25" s="1109"/>
      <c r="B25" s="1077" t="s">
        <v>62</v>
      </c>
      <c r="C25" s="1094" t="s">
        <v>63</v>
      </c>
      <c r="E25" s="1095" t="s">
        <v>14</v>
      </c>
      <c r="F25" s="1109"/>
      <c r="G25" s="1093" t="s">
        <v>64</v>
      </c>
      <c r="H25" s="1096">
        <v>0</v>
      </c>
      <c r="I25" s="1096">
        <v>0</v>
      </c>
      <c r="J25" s="1096">
        <v>0</v>
      </c>
      <c r="K25" s="1096">
        <v>0</v>
      </c>
      <c r="L25" s="1096">
        <v>0</v>
      </c>
      <c r="M25" s="1096">
        <v>0</v>
      </c>
      <c r="N25" s="1096">
        <v>0</v>
      </c>
      <c r="O25" s="1096">
        <v>0</v>
      </c>
      <c r="P25" s="1096">
        <v>0</v>
      </c>
      <c r="Q25" s="1096">
        <v>0</v>
      </c>
      <c r="R25" s="1096">
        <v>0</v>
      </c>
    </row>
    <row r="26" spans="1:19" ht="12" x14ac:dyDescent="0.2">
      <c r="B26" s="1077" t="s">
        <v>65</v>
      </c>
      <c r="C26" s="1094">
        <v>28</v>
      </c>
      <c r="E26" s="1095" t="s">
        <v>14</v>
      </c>
      <c r="G26" s="1093" t="s">
        <v>66</v>
      </c>
      <c r="H26" s="1096">
        <v>0</v>
      </c>
      <c r="I26" s="1096">
        <v>0</v>
      </c>
      <c r="J26" s="1096">
        <v>0</v>
      </c>
      <c r="K26" s="1096">
        <v>0</v>
      </c>
      <c r="L26" s="1096">
        <v>0</v>
      </c>
      <c r="M26" s="1096">
        <v>0</v>
      </c>
      <c r="N26" s="1096">
        <v>0</v>
      </c>
      <c r="O26" s="1096">
        <v>0</v>
      </c>
      <c r="P26" s="1096">
        <v>0</v>
      </c>
      <c r="Q26" s="1096">
        <v>0</v>
      </c>
      <c r="R26" s="1096">
        <v>0</v>
      </c>
    </row>
    <row r="27" spans="1:19" x14ac:dyDescent="0.2">
      <c r="B27" s="1077" t="s">
        <v>67</v>
      </c>
      <c r="C27" s="1094">
        <v>29</v>
      </c>
      <c r="E27" s="1097"/>
      <c r="G27" s="1093" t="s">
        <v>68</v>
      </c>
      <c r="H27" s="1090">
        <f>SUM(H28:H30)</f>
        <v>12.074</v>
      </c>
      <c r="I27" s="1090">
        <f t="shared" ref="I27:R27" si="5">SUM(I28:I30)</f>
        <v>16.405000000000001</v>
      </c>
      <c r="J27" s="1090">
        <f t="shared" si="5"/>
        <v>17.158000000000001</v>
      </c>
      <c r="K27" s="1090">
        <f t="shared" si="5"/>
        <v>22.897000000000002</v>
      </c>
      <c r="L27" s="1090">
        <f t="shared" si="5"/>
        <v>19.952999999999999</v>
      </c>
      <c r="M27" s="1090">
        <f t="shared" si="5"/>
        <v>18</v>
      </c>
      <c r="N27" s="1090">
        <f t="shared" si="5"/>
        <v>120</v>
      </c>
      <c r="O27" s="1090">
        <f t="shared" si="5"/>
        <v>720</v>
      </c>
      <c r="P27" s="1090">
        <f t="shared" si="5"/>
        <v>19</v>
      </c>
      <c r="Q27" s="1090">
        <f t="shared" si="5"/>
        <v>23</v>
      </c>
      <c r="R27" s="1090">
        <f t="shared" si="5"/>
        <v>22</v>
      </c>
    </row>
    <row r="28" spans="1:19" ht="12" x14ac:dyDescent="0.2">
      <c r="B28" s="1077" t="s">
        <v>69</v>
      </c>
      <c r="C28" s="1091" t="s">
        <v>70</v>
      </c>
      <c r="D28" s="1091"/>
      <c r="E28" s="1095" t="s">
        <v>14</v>
      </c>
      <c r="G28" s="1093" t="s">
        <v>71</v>
      </c>
      <c r="H28" s="1096">
        <v>9.8420000000000005</v>
      </c>
      <c r="I28" s="1096">
        <v>9.8420000000000005</v>
      </c>
      <c r="J28" s="1096">
        <v>9.8420000000000005</v>
      </c>
      <c r="K28" s="1096">
        <v>9.8420000000000005</v>
      </c>
      <c r="L28" s="1096">
        <v>9.8420000000000005</v>
      </c>
      <c r="M28" s="1096">
        <v>10</v>
      </c>
      <c r="N28" s="1096">
        <f>M28</f>
        <v>10</v>
      </c>
      <c r="O28" s="1096">
        <v>10</v>
      </c>
      <c r="P28" s="1096">
        <v>10</v>
      </c>
      <c r="Q28" s="1096">
        <v>10</v>
      </c>
      <c r="R28" s="1096">
        <f>Q28</f>
        <v>10</v>
      </c>
    </row>
    <row r="29" spans="1:19" ht="12" x14ac:dyDescent="0.2">
      <c r="B29" s="1077" t="s">
        <v>72</v>
      </c>
      <c r="C29" s="1094">
        <v>298</v>
      </c>
      <c r="E29" s="1095" t="s">
        <v>14</v>
      </c>
      <c r="G29" s="1093" t="s">
        <v>73</v>
      </c>
      <c r="H29" s="1096">
        <v>15.715999999999999</v>
      </c>
      <c r="I29" s="1096">
        <v>2.2330000000000001</v>
      </c>
      <c r="J29" s="1096">
        <v>6.5629999999999997</v>
      </c>
      <c r="K29" s="1096">
        <v>7.3159999999999998</v>
      </c>
      <c r="L29" s="1096">
        <v>13.054</v>
      </c>
      <c r="M29" s="1096">
        <v>10</v>
      </c>
      <c r="N29" s="1096">
        <f>M29</f>
        <v>10</v>
      </c>
      <c r="O29" s="1096">
        <v>110</v>
      </c>
      <c r="P29" s="1096">
        <v>710</v>
      </c>
      <c r="Q29" s="1096">
        <v>10</v>
      </c>
      <c r="R29" s="1096">
        <f>Q29</f>
        <v>10</v>
      </c>
    </row>
    <row r="30" spans="1:19" ht="12" x14ac:dyDescent="0.2">
      <c r="B30" s="1077" t="s">
        <v>74</v>
      </c>
      <c r="C30" s="1094">
        <v>299</v>
      </c>
      <c r="E30" s="1095" t="s">
        <v>75</v>
      </c>
      <c r="G30" s="1093" t="s">
        <v>76</v>
      </c>
      <c r="H30" s="1096">
        <v>-13.484</v>
      </c>
      <c r="I30" s="1096">
        <v>4.33</v>
      </c>
      <c r="J30" s="1096">
        <v>0.753</v>
      </c>
      <c r="K30" s="1096">
        <v>5.7389999999999999</v>
      </c>
      <c r="L30" s="1096">
        <v>-2.9430000000000001</v>
      </c>
      <c r="M30" s="1096">
        <v>-2</v>
      </c>
      <c r="N30" s="1096">
        <v>100</v>
      </c>
      <c r="O30" s="1096">
        <v>600</v>
      </c>
      <c r="P30" s="1096">
        <v>-701</v>
      </c>
      <c r="Q30" s="1096">
        <v>3</v>
      </c>
      <c r="R30" s="1096">
        <v>2</v>
      </c>
    </row>
    <row r="31" spans="1:19" s="1115" customFormat="1" x14ac:dyDescent="0.2">
      <c r="A31" s="1110"/>
      <c r="B31" s="1085"/>
      <c r="C31" s="1111"/>
      <c r="D31" s="1111"/>
      <c r="E31" s="1112"/>
      <c r="F31" s="1110"/>
      <c r="G31" s="1113" t="s">
        <v>77</v>
      </c>
      <c r="H31" s="1114">
        <f t="shared" ref="H31:R31" si="6">H4-H18</f>
        <v>9.9999999997635314E-4</v>
      </c>
      <c r="I31" s="1114">
        <f t="shared" si="6"/>
        <v>0</v>
      </c>
      <c r="J31" s="1114">
        <f t="shared" si="6"/>
        <v>9.9999999999766942E-4</v>
      </c>
      <c r="K31" s="1114">
        <f t="shared" si="6"/>
        <v>0</v>
      </c>
      <c r="L31" s="1114">
        <f t="shared" si="6"/>
        <v>1.0000000000012221E-3</v>
      </c>
      <c r="M31" s="1114">
        <f t="shared" si="6"/>
        <v>0</v>
      </c>
      <c r="N31" s="1114">
        <f t="shared" si="6"/>
        <v>0</v>
      </c>
      <c r="O31" s="1114">
        <f t="shared" si="6"/>
        <v>0</v>
      </c>
      <c r="P31" s="1114">
        <f t="shared" si="6"/>
        <v>0</v>
      </c>
      <c r="Q31" s="1114">
        <f t="shared" si="6"/>
        <v>0</v>
      </c>
      <c r="R31" s="1114">
        <f t="shared" si="6"/>
        <v>0</v>
      </c>
      <c r="S31" s="1079"/>
    </row>
    <row r="32" spans="1:19" x14ac:dyDescent="0.2">
      <c r="G32" s="1086" t="s">
        <v>78</v>
      </c>
      <c r="H32" s="1116">
        <v>2011</v>
      </c>
      <c r="I32" s="1116">
        <f t="shared" ref="I32:R32" si="7">H32+1</f>
        <v>2012</v>
      </c>
      <c r="J32" s="1116">
        <f t="shared" si="7"/>
        <v>2013</v>
      </c>
      <c r="K32" s="1116">
        <f t="shared" si="7"/>
        <v>2014</v>
      </c>
      <c r="L32" s="1116">
        <f t="shared" si="7"/>
        <v>2015</v>
      </c>
      <c r="M32" s="1116">
        <f t="shared" si="7"/>
        <v>2016</v>
      </c>
      <c r="N32" s="1116">
        <f t="shared" si="7"/>
        <v>2017</v>
      </c>
      <c r="O32" s="1116">
        <f t="shared" si="7"/>
        <v>2018</v>
      </c>
      <c r="P32" s="1116">
        <f t="shared" si="7"/>
        <v>2019</v>
      </c>
      <c r="Q32" s="1116">
        <f t="shared" si="7"/>
        <v>2020</v>
      </c>
      <c r="R32" s="1116">
        <f t="shared" si="7"/>
        <v>2021</v>
      </c>
    </row>
    <row r="33" spans="1:18" x14ac:dyDescent="0.2">
      <c r="B33" s="1077" t="s">
        <v>79</v>
      </c>
      <c r="C33" s="1094">
        <v>3</v>
      </c>
      <c r="G33" s="1089" t="s">
        <v>80</v>
      </c>
      <c r="H33" s="1090">
        <f>SUM(H34:H37)</f>
        <v>90.543999999999997</v>
      </c>
      <c r="I33" s="1090">
        <f t="shared" ref="I33:R33" si="8">SUM(I34:I37)</f>
        <v>148.59299999999999</v>
      </c>
      <c r="J33" s="1090">
        <f t="shared" si="8"/>
        <v>82.378</v>
      </c>
      <c r="K33" s="1090">
        <f t="shared" si="8"/>
        <v>77.909000000000006</v>
      </c>
      <c r="L33" s="1090">
        <f t="shared" si="8"/>
        <v>98.789000000000001</v>
      </c>
      <c r="M33" s="1090">
        <f t="shared" si="8"/>
        <v>74</v>
      </c>
      <c r="N33" s="1090">
        <f t="shared" si="8"/>
        <v>176</v>
      </c>
      <c r="O33" s="1090">
        <f t="shared" si="8"/>
        <v>680</v>
      </c>
      <c r="P33" s="1090">
        <f t="shared" si="8"/>
        <v>80</v>
      </c>
      <c r="Q33" s="1090">
        <f t="shared" si="8"/>
        <v>83</v>
      </c>
      <c r="R33" s="1090">
        <f t="shared" si="8"/>
        <v>83</v>
      </c>
    </row>
    <row r="34" spans="1:18" ht="12" x14ac:dyDescent="0.2">
      <c r="B34" s="1077" t="s">
        <v>81</v>
      </c>
      <c r="C34" s="1094">
        <v>30</v>
      </c>
      <c r="E34" s="1095" t="s">
        <v>14</v>
      </c>
      <c r="G34" s="1093" t="s">
        <v>82</v>
      </c>
      <c r="H34" s="1096">
        <v>0</v>
      </c>
      <c r="I34" s="1096">
        <v>0</v>
      </c>
      <c r="J34" s="1096">
        <v>0</v>
      </c>
      <c r="K34" s="1096">
        <v>0</v>
      </c>
      <c r="L34" s="1096">
        <v>0</v>
      </c>
      <c r="M34" s="1096">
        <v>0</v>
      </c>
      <c r="N34" s="1096">
        <v>0</v>
      </c>
      <c r="O34" s="1096">
        <v>0</v>
      </c>
      <c r="P34" s="1096">
        <v>0</v>
      </c>
      <c r="Q34" s="1096">
        <v>0</v>
      </c>
      <c r="R34" s="1096">
        <v>0</v>
      </c>
    </row>
    <row r="35" spans="1:18" ht="12" x14ac:dyDescent="0.2">
      <c r="B35" s="1077" t="s">
        <v>83</v>
      </c>
      <c r="C35" s="1094">
        <v>32</v>
      </c>
      <c r="E35" s="1095" t="s">
        <v>14</v>
      </c>
      <c r="G35" s="1093" t="s">
        <v>84</v>
      </c>
      <c r="H35" s="1096">
        <v>28.617000000000001</v>
      </c>
      <c r="I35" s="1096">
        <v>27.542999999999999</v>
      </c>
      <c r="J35" s="1096">
        <v>29.349</v>
      </c>
      <c r="K35" s="1096">
        <v>29.632999999999999</v>
      </c>
      <c r="L35" s="1096">
        <v>28.37</v>
      </c>
      <c r="M35" s="1096">
        <v>26</v>
      </c>
      <c r="N35" s="1096">
        <v>28</v>
      </c>
      <c r="O35" s="1096">
        <v>30</v>
      </c>
      <c r="P35" s="1096">
        <v>30</v>
      </c>
      <c r="Q35" s="1096">
        <v>31</v>
      </c>
      <c r="R35" s="1096">
        <f>Q35</f>
        <v>31</v>
      </c>
    </row>
    <row r="36" spans="1:18" ht="12" x14ac:dyDescent="0.2">
      <c r="A36" s="1098"/>
      <c r="B36" s="1077" t="s">
        <v>85</v>
      </c>
      <c r="C36" s="1094">
        <v>35</v>
      </c>
      <c r="E36" s="1095" t="s">
        <v>14</v>
      </c>
      <c r="F36" s="1098"/>
      <c r="G36" s="1093" t="s">
        <v>86</v>
      </c>
      <c r="H36" s="1096">
        <v>61.511000000000003</v>
      </c>
      <c r="I36" s="1096">
        <v>121.05</v>
      </c>
      <c r="J36" s="1096">
        <v>53.029000000000003</v>
      </c>
      <c r="K36" s="1096">
        <v>48.276000000000003</v>
      </c>
      <c r="L36" s="1096">
        <v>70.418999999999997</v>
      </c>
      <c r="M36" s="1096">
        <v>35</v>
      </c>
      <c r="N36" s="1096">
        <v>35</v>
      </c>
      <c r="O36" s="1096">
        <v>535</v>
      </c>
      <c r="P36" s="1096">
        <v>35</v>
      </c>
      <c r="Q36" s="1096">
        <v>36</v>
      </c>
      <c r="R36" s="1096">
        <f>Q36</f>
        <v>36</v>
      </c>
    </row>
    <row r="37" spans="1:18" ht="12" x14ac:dyDescent="0.2">
      <c r="B37" s="1077" t="s">
        <v>87</v>
      </c>
      <c r="C37" s="1094">
        <v>38</v>
      </c>
      <c r="E37" s="1095" t="s">
        <v>14</v>
      </c>
      <c r="G37" s="1093" t="s">
        <v>88</v>
      </c>
      <c r="H37" s="1096">
        <v>0.41600000000000004</v>
      </c>
      <c r="I37" s="1096">
        <v>0</v>
      </c>
      <c r="J37" s="1096">
        <v>0</v>
      </c>
      <c r="K37" s="1096">
        <v>0</v>
      </c>
      <c r="L37" s="1096">
        <v>0</v>
      </c>
      <c r="M37" s="1096">
        <v>13</v>
      </c>
      <c r="N37" s="1096">
        <v>113</v>
      </c>
      <c r="O37" s="1096">
        <v>115</v>
      </c>
      <c r="P37" s="1096">
        <v>15</v>
      </c>
      <c r="Q37" s="1096">
        <v>16</v>
      </c>
      <c r="R37" s="1096">
        <f>Q37</f>
        <v>16</v>
      </c>
    </row>
    <row r="38" spans="1:18" x14ac:dyDescent="0.2">
      <c r="B38" s="1077" t="s">
        <v>89</v>
      </c>
      <c r="C38" s="1094">
        <v>4</v>
      </c>
      <c r="E38" s="1117"/>
      <c r="G38" s="1093" t="s">
        <v>90</v>
      </c>
      <c r="H38" s="1090">
        <f>H39+H40</f>
        <v>0</v>
      </c>
      <c r="I38" s="1090">
        <f t="shared" ref="I38:R38" si="9">I39+I40</f>
        <v>0</v>
      </c>
      <c r="J38" s="1090">
        <f t="shared" si="9"/>
        <v>0</v>
      </c>
      <c r="K38" s="1090">
        <f t="shared" si="9"/>
        <v>0</v>
      </c>
      <c r="L38" s="1090">
        <f t="shared" si="9"/>
        <v>0</v>
      </c>
      <c r="M38" s="1090">
        <f t="shared" si="9"/>
        <v>0</v>
      </c>
      <c r="N38" s="1090">
        <f t="shared" si="9"/>
        <v>0</v>
      </c>
      <c r="O38" s="1090">
        <f t="shared" si="9"/>
        <v>0</v>
      </c>
      <c r="P38" s="1090">
        <f t="shared" si="9"/>
        <v>-700</v>
      </c>
      <c r="Q38" s="1090">
        <f t="shared" si="9"/>
        <v>0</v>
      </c>
      <c r="R38" s="1090">
        <f t="shared" si="9"/>
        <v>0</v>
      </c>
    </row>
    <row r="39" spans="1:18" ht="12" x14ac:dyDescent="0.2">
      <c r="B39" s="1077" t="s">
        <v>91</v>
      </c>
      <c r="C39" s="1094">
        <v>41</v>
      </c>
      <c r="E39" s="1095" t="s">
        <v>507</v>
      </c>
      <c r="G39" s="1093" t="s">
        <v>93</v>
      </c>
      <c r="H39" s="1096">
        <v>0</v>
      </c>
      <c r="I39" s="1096">
        <v>0</v>
      </c>
      <c r="J39" s="1096">
        <v>0</v>
      </c>
      <c r="K39" s="1096">
        <v>0</v>
      </c>
      <c r="L39" s="1096">
        <v>0</v>
      </c>
      <c r="M39" s="1096">
        <v>0</v>
      </c>
      <c r="N39" s="1096">
        <v>0</v>
      </c>
      <c r="O39" s="1096">
        <v>0</v>
      </c>
      <c r="P39" s="1096">
        <v>0</v>
      </c>
      <c r="Q39" s="1096">
        <v>0</v>
      </c>
      <c r="R39" s="1096">
        <v>0</v>
      </c>
    </row>
    <row r="40" spans="1:18" ht="12" x14ac:dyDescent="0.2">
      <c r="B40" s="1077" t="s">
        <v>94</v>
      </c>
      <c r="C40" s="1094">
        <v>45</v>
      </c>
      <c r="E40" s="1095" t="s">
        <v>507</v>
      </c>
      <c r="G40" s="1093" t="s">
        <v>95</v>
      </c>
      <c r="H40" s="1096">
        <v>0</v>
      </c>
      <c r="I40" s="1096">
        <v>0</v>
      </c>
      <c r="J40" s="1096">
        <v>0</v>
      </c>
      <c r="K40" s="1096">
        <v>0</v>
      </c>
      <c r="L40" s="1096">
        <v>0</v>
      </c>
      <c r="M40" s="1096">
        <v>0</v>
      </c>
      <c r="N40" s="1096">
        <v>0</v>
      </c>
      <c r="O40" s="1096">
        <v>0</v>
      </c>
      <c r="P40" s="1096">
        <v>-700</v>
      </c>
      <c r="Q40" s="1096">
        <v>0</v>
      </c>
      <c r="R40" s="1096">
        <v>0</v>
      </c>
    </row>
    <row r="41" spans="1:18" x14ac:dyDescent="0.2">
      <c r="A41" s="1098"/>
      <c r="B41" s="1077" t="s">
        <v>96</v>
      </c>
      <c r="C41" s="1094" t="s">
        <v>97</v>
      </c>
      <c r="E41" s="1117"/>
      <c r="F41" s="1098"/>
      <c r="G41" s="1093" t="s">
        <v>98</v>
      </c>
      <c r="H41" s="1090">
        <f>SUM(H42:H45)</f>
        <v>-77.811999999999983</v>
      </c>
      <c r="I41" s="1090">
        <f t="shared" ref="I41:R41" si="10">SUM(I42:I45)</f>
        <v>-134.01400000000001</v>
      </c>
      <c r="J41" s="1090">
        <f t="shared" si="10"/>
        <v>-80.322000000000003</v>
      </c>
      <c r="K41" s="1090">
        <f t="shared" si="10"/>
        <v>-72.171999999999997</v>
      </c>
      <c r="L41" s="1090">
        <f t="shared" si="10"/>
        <v>-101.73100000000001</v>
      </c>
      <c r="M41" s="1090">
        <f t="shared" si="10"/>
        <v>-76</v>
      </c>
      <c r="N41" s="1090">
        <f t="shared" si="10"/>
        <v>-75</v>
      </c>
      <c r="O41" s="1090">
        <f t="shared" si="10"/>
        <v>-80</v>
      </c>
      <c r="P41" s="1090">
        <f t="shared" si="10"/>
        <v>-81</v>
      </c>
      <c r="Q41" s="1090">
        <f t="shared" si="10"/>
        <v>-80</v>
      </c>
      <c r="R41" s="1090">
        <f t="shared" si="10"/>
        <v>-81</v>
      </c>
    </row>
    <row r="42" spans="1:18" ht="12" x14ac:dyDescent="0.2">
      <c r="B42" s="1077" t="s">
        <v>99</v>
      </c>
      <c r="C42" s="1094">
        <v>50</v>
      </c>
      <c r="E42" s="1095" t="s">
        <v>507</v>
      </c>
      <c r="G42" s="1093" t="s">
        <v>100</v>
      </c>
      <c r="H42" s="1096">
        <v>-32.357999999999997</v>
      </c>
      <c r="I42" s="1096">
        <v>-69.763000000000005</v>
      </c>
      <c r="J42" s="1096">
        <v>-24.640999999999998</v>
      </c>
      <c r="K42" s="1096">
        <v>-25.074999999999999</v>
      </c>
      <c r="L42" s="1096">
        <v>-26.64</v>
      </c>
      <c r="M42" s="1096">
        <v>-29</v>
      </c>
      <c r="N42" s="1096">
        <f>M42</f>
        <v>-29</v>
      </c>
      <c r="O42" s="1096">
        <v>-32</v>
      </c>
      <c r="P42" s="1096">
        <v>-32</v>
      </c>
      <c r="Q42" s="1096">
        <v>-32</v>
      </c>
      <c r="R42" s="1096">
        <f>Q42</f>
        <v>-32</v>
      </c>
    </row>
    <row r="43" spans="1:18" ht="12" x14ac:dyDescent="0.2">
      <c r="B43" s="1077" t="s">
        <v>101</v>
      </c>
      <c r="C43" s="1094">
        <v>55</v>
      </c>
      <c r="E43" s="1095" t="s">
        <v>507</v>
      </c>
      <c r="G43" s="1093" t="s">
        <v>102</v>
      </c>
      <c r="H43" s="1096">
        <v>-40.081000000000003</v>
      </c>
      <c r="I43" s="1096">
        <v>-57.643999999999998</v>
      </c>
      <c r="J43" s="1096">
        <v>-48.948</v>
      </c>
      <c r="K43" s="1096">
        <v>-42.027000000000001</v>
      </c>
      <c r="L43" s="1096">
        <v>-64.531000000000006</v>
      </c>
      <c r="M43" s="1096">
        <v>-35</v>
      </c>
      <c r="N43" s="1096">
        <f>M43</f>
        <v>-35</v>
      </c>
      <c r="O43" s="1096">
        <v>-37</v>
      </c>
      <c r="P43" s="1096">
        <v>-37</v>
      </c>
      <c r="Q43" s="1096">
        <v>-37</v>
      </c>
      <c r="R43" s="1096">
        <f>Q43</f>
        <v>-37</v>
      </c>
    </row>
    <row r="44" spans="1:18" ht="12" x14ac:dyDescent="0.2">
      <c r="A44" s="1098"/>
      <c r="B44" s="1077" t="s">
        <v>103</v>
      </c>
      <c r="C44" s="1094">
        <v>60</v>
      </c>
      <c r="E44" s="1095" t="s">
        <v>507</v>
      </c>
      <c r="F44" s="1098"/>
      <c r="G44" s="1093" t="s">
        <v>104</v>
      </c>
      <c r="H44" s="1096">
        <v>-4.4509999999999996</v>
      </c>
      <c r="I44" s="1096">
        <v>-5.6849999999999996</v>
      </c>
      <c r="J44" s="1096">
        <v>-5.8109999999999999</v>
      </c>
      <c r="K44" s="1096">
        <v>-4.1479999999999997</v>
      </c>
      <c r="L44" s="1096">
        <v>-9.6379999999999999</v>
      </c>
      <c r="M44" s="1096">
        <v>-11</v>
      </c>
      <c r="N44" s="1096">
        <f>M44</f>
        <v>-11</v>
      </c>
      <c r="O44" s="1096">
        <v>-11</v>
      </c>
      <c r="P44" s="1096">
        <v>-11</v>
      </c>
      <c r="Q44" s="1096">
        <v>-11</v>
      </c>
      <c r="R44" s="1096">
        <f>Q44</f>
        <v>-11</v>
      </c>
    </row>
    <row r="45" spans="1:18" ht="12" x14ac:dyDescent="0.2">
      <c r="B45" s="1077" t="s">
        <v>105</v>
      </c>
      <c r="C45" s="1094">
        <v>61</v>
      </c>
      <c r="E45" s="1095" t="s">
        <v>507</v>
      </c>
      <c r="G45" s="1093" t="s">
        <v>106</v>
      </c>
      <c r="H45" s="1096">
        <v>-0.92200000000000004</v>
      </c>
      <c r="I45" s="1096">
        <v>-0.92200000000000004</v>
      </c>
      <c r="J45" s="1096">
        <v>-0.92200000000000004</v>
      </c>
      <c r="K45" s="1096">
        <v>-0.92200000000000004</v>
      </c>
      <c r="L45" s="1096">
        <v>-0.92200000000000004</v>
      </c>
      <c r="M45" s="1096">
        <v>-1</v>
      </c>
      <c r="N45" s="1096">
        <v>0</v>
      </c>
      <c r="O45" s="1096">
        <v>0</v>
      </c>
      <c r="P45" s="1096">
        <v>-1</v>
      </c>
      <c r="Q45" s="1096">
        <v>0</v>
      </c>
      <c r="R45" s="1096">
        <v>-1</v>
      </c>
    </row>
    <row r="46" spans="1:18" x14ac:dyDescent="0.2">
      <c r="B46" s="1077" t="s">
        <v>107</v>
      </c>
      <c r="G46" s="1093" t="s">
        <v>108</v>
      </c>
      <c r="H46" s="1090">
        <f>H33+H38+H41</f>
        <v>12.732000000000014</v>
      </c>
      <c r="I46" s="1090">
        <f t="shared" ref="I46:R46" si="11">I33+I38+I41</f>
        <v>14.578999999999979</v>
      </c>
      <c r="J46" s="1090">
        <f t="shared" si="11"/>
        <v>2.0559999999999974</v>
      </c>
      <c r="K46" s="1090">
        <f t="shared" si="11"/>
        <v>5.737000000000009</v>
      </c>
      <c r="L46" s="1090">
        <f t="shared" si="11"/>
        <v>-2.9420000000000073</v>
      </c>
      <c r="M46" s="1090">
        <f t="shared" si="11"/>
        <v>-2</v>
      </c>
      <c r="N46" s="1090">
        <f t="shared" si="11"/>
        <v>101</v>
      </c>
      <c r="O46" s="1090">
        <f t="shared" si="11"/>
        <v>600</v>
      </c>
      <c r="P46" s="1090">
        <f t="shared" si="11"/>
        <v>-701</v>
      </c>
      <c r="Q46" s="1090">
        <f t="shared" si="11"/>
        <v>3</v>
      </c>
      <c r="R46" s="1090">
        <f t="shared" si="11"/>
        <v>2</v>
      </c>
    </row>
    <row r="47" spans="1:18" ht="12" x14ac:dyDescent="0.2">
      <c r="B47" s="1077" t="s">
        <v>109</v>
      </c>
      <c r="C47" s="1094">
        <v>65</v>
      </c>
      <c r="E47" s="1095" t="s">
        <v>508</v>
      </c>
      <c r="G47" s="1093" t="s">
        <v>110</v>
      </c>
      <c r="H47" s="1096">
        <v>-26.215</v>
      </c>
      <c r="I47" s="1096">
        <v>-10.249000000000001</v>
      </c>
      <c r="J47" s="1096">
        <v>-1.304</v>
      </c>
      <c r="K47" s="1096">
        <v>2E-3</v>
      </c>
      <c r="L47" s="1096">
        <v>0</v>
      </c>
      <c r="M47" s="1096">
        <v>0</v>
      </c>
      <c r="N47" s="1096">
        <v>0</v>
      </c>
      <c r="O47" s="1096">
        <v>0</v>
      </c>
      <c r="P47" s="1096">
        <v>0</v>
      </c>
      <c r="Q47" s="1096">
        <v>0</v>
      </c>
      <c r="R47" s="1096">
        <v>0</v>
      </c>
    </row>
    <row r="48" spans="1:18" x14ac:dyDescent="0.2">
      <c r="B48" s="1077" t="s">
        <v>111</v>
      </c>
      <c r="G48" s="1093" t="s">
        <v>112</v>
      </c>
      <c r="H48" s="1090">
        <f>H46+H47</f>
        <v>-13.482999999999986</v>
      </c>
      <c r="I48" s="1090">
        <f t="shared" ref="I48:R48" si="12">I46+I47</f>
        <v>4.3299999999999788</v>
      </c>
      <c r="J48" s="1090">
        <f t="shared" si="12"/>
        <v>0.75199999999999734</v>
      </c>
      <c r="K48" s="1090">
        <f t="shared" si="12"/>
        <v>5.7390000000000088</v>
      </c>
      <c r="L48" s="1090">
        <f t="shared" si="12"/>
        <v>-2.9420000000000073</v>
      </c>
      <c r="M48" s="1090">
        <f t="shared" si="12"/>
        <v>-2</v>
      </c>
      <c r="N48" s="1090">
        <f t="shared" si="12"/>
        <v>101</v>
      </c>
      <c r="O48" s="1090">
        <f t="shared" si="12"/>
        <v>600</v>
      </c>
      <c r="P48" s="1090">
        <f t="shared" si="12"/>
        <v>-701</v>
      </c>
      <c r="Q48" s="1090">
        <f t="shared" si="12"/>
        <v>3</v>
      </c>
      <c r="R48" s="1090">
        <f t="shared" si="12"/>
        <v>2</v>
      </c>
    </row>
    <row r="49" spans="1:18" ht="12" x14ac:dyDescent="0.2">
      <c r="B49" s="1077" t="s">
        <v>113</v>
      </c>
      <c r="C49" s="1094">
        <v>68</v>
      </c>
      <c r="E49" s="1095" t="s">
        <v>92</v>
      </c>
      <c r="G49" s="1093" t="s">
        <v>114</v>
      </c>
      <c r="H49" s="1096">
        <v>0</v>
      </c>
      <c r="I49" s="1096">
        <v>0</v>
      </c>
      <c r="J49" s="1096">
        <v>0</v>
      </c>
      <c r="K49" s="1096">
        <v>0</v>
      </c>
      <c r="L49" s="1096">
        <v>0</v>
      </c>
      <c r="M49" s="1096">
        <v>0</v>
      </c>
      <c r="N49" s="1096">
        <v>0</v>
      </c>
      <c r="O49" s="1096">
        <v>0</v>
      </c>
      <c r="P49" s="1096">
        <v>0</v>
      </c>
      <c r="Q49" s="1096">
        <v>0</v>
      </c>
      <c r="R49" s="1096">
        <v>0</v>
      </c>
    </row>
    <row r="50" spans="1:18" ht="12" x14ac:dyDescent="0.2">
      <c r="B50" s="1077" t="s">
        <v>115</v>
      </c>
      <c r="C50" s="1094">
        <v>69</v>
      </c>
      <c r="E50" s="1095" t="s">
        <v>14</v>
      </c>
      <c r="G50" s="1093" t="s">
        <v>116</v>
      </c>
      <c r="H50" s="1096">
        <v>0</v>
      </c>
      <c r="I50" s="1096">
        <v>0</v>
      </c>
      <c r="J50" s="1096">
        <v>0</v>
      </c>
      <c r="K50" s="1096">
        <v>0</v>
      </c>
      <c r="L50" s="1096">
        <v>0</v>
      </c>
      <c r="M50" s="1096">
        <v>0</v>
      </c>
      <c r="N50" s="1096">
        <v>0</v>
      </c>
      <c r="O50" s="1096">
        <v>0</v>
      </c>
      <c r="P50" s="1096">
        <v>0</v>
      </c>
      <c r="Q50" s="1096">
        <v>0</v>
      </c>
      <c r="R50" s="1096">
        <v>0</v>
      </c>
    </row>
    <row r="51" spans="1:18" x14ac:dyDescent="0.2">
      <c r="B51" s="1077" t="s">
        <v>117</v>
      </c>
      <c r="G51" s="1093" t="s">
        <v>118</v>
      </c>
      <c r="H51" s="1090">
        <f>H48+H49+H50</f>
        <v>-13.482999999999986</v>
      </c>
      <c r="I51" s="1090">
        <f t="shared" ref="I51:R51" si="13">I48+I49+I50</f>
        <v>4.3299999999999788</v>
      </c>
      <c r="J51" s="1090">
        <f t="shared" si="13"/>
        <v>0.75199999999999734</v>
      </c>
      <c r="K51" s="1090">
        <f t="shared" si="13"/>
        <v>5.7390000000000088</v>
      </c>
      <c r="L51" s="1090">
        <f t="shared" si="13"/>
        <v>-2.9420000000000073</v>
      </c>
      <c r="M51" s="1090">
        <f t="shared" si="13"/>
        <v>-2</v>
      </c>
      <c r="N51" s="1090">
        <f t="shared" si="13"/>
        <v>101</v>
      </c>
      <c r="O51" s="1090">
        <f t="shared" si="13"/>
        <v>600</v>
      </c>
      <c r="P51" s="1090">
        <f t="shared" si="13"/>
        <v>-701</v>
      </c>
      <c r="Q51" s="1090">
        <f t="shared" si="13"/>
        <v>3</v>
      </c>
      <c r="R51" s="1090">
        <f t="shared" si="13"/>
        <v>2</v>
      </c>
    </row>
    <row r="52" spans="1:18" x14ac:dyDescent="0.2">
      <c r="A52" s="1118"/>
      <c r="C52" s="1119"/>
      <c r="D52" s="1119"/>
      <c r="E52" s="1120"/>
      <c r="F52" s="1118"/>
      <c r="G52" s="1113" t="s">
        <v>119</v>
      </c>
      <c r="H52" s="1114">
        <f>H30-H51</f>
        <v>-1.0000000000136566E-3</v>
      </c>
      <c r="I52" s="1114">
        <f t="shared" ref="I52:R52" si="14">I30-I51</f>
        <v>2.1316282072803006E-14</v>
      </c>
      <c r="J52" s="1114">
        <f t="shared" si="14"/>
        <v>1.0000000000026654E-3</v>
      </c>
      <c r="K52" s="1114">
        <f t="shared" si="14"/>
        <v>-8.8817841970012523E-15</v>
      </c>
      <c r="L52" s="1114">
        <f t="shared" si="14"/>
        <v>-9.9999999999278444E-4</v>
      </c>
      <c r="M52" s="1114">
        <f t="shared" si="14"/>
        <v>0</v>
      </c>
      <c r="N52" s="1114">
        <f t="shared" si="14"/>
        <v>-1</v>
      </c>
      <c r="O52" s="1114">
        <f t="shared" si="14"/>
        <v>0</v>
      </c>
      <c r="P52" s="1114">
        <f t="shared" si="14"/>
        <v>0</v>
      </c>
      <c r="Q52" s="1114">
        <f t="shared" si="14"/>
        <v>0</v>
      </c>
      <c r="R52" s="1114">
        <f t="shared" si="14"/>
        <v>0</v>
      </c>
    </row>
    <row r="53" spans="1:18" x14ac:dyDescent="0.2">
      <c r="G53" s="1121" t="s">
        <v>120</v>
      </c>
    </row>
    <row r="54" spans="1:18" ht="12" x14ac:dyDescent="0.2">
      <c r="C54" s="1094">
        <v>90</v>
      </c>
      <c r="E54" s="1095" t="s">
        <v>14</v>
      </c>
      <c r="G54" s="1121" t="s">
        <v>121</v>
      </c>
      <c r="H54" s="1096">
        <v>3</v>
      </c>
      <c r="I54" s="1096">
        <v>6</v>
      </c>
      <c r="J54" s="1096">
        <v>3</v>
      </c>
      <c r="K54" s="1096">
        <v>3</v>
      </c>
      <c r="L54" s="1096">
        <v>4</v>
      </c>
      <c r="M54" s="1096">
        <v>4</v>
      </c>
      <c r="N54" s="1096">
        <v>4</v>
      </c>
      <c r="O54" s="1096">
        <v>4</v>
      </c>
      <c r="P54" s="1096">
        <v>4</v>
      </c>
      <c r="Q54" s="1096">
        <v>4</v>
      </c>
      <c r="R54" s="1096">
        <v>4</v>
      </c>
    </row>
    <row r="55" spans="1:18" ht="12" x14ac:dyDescent="0.2">
      <c r="E55" s="1095" t="s">
        <v>14</v>
      </c>
      <c r="G55" s="1121" t="s">
        <v>122</v>
      </c>
      <c r="H55" s="1096"/>
      <c r="I55" s="1096"/>
      <c r="J55" s="1096"/>
      <c r="K55" s="1096"/>
      <c r="L55" s="1122"/>
      <c r="M55" s="1122"/>
      <c r="N55" s="1122"/>
      <c r="O55" s="1122"/>
      <c r="P55" s="1122"/>
      <c r="Q55" s="1122"/>
      <c r="R55" s="1122"/>
    </row>
    <row r="57" spans="1:18" x14ac:dyDescent="0.2">
      <c r="D57" s="1123" t="s">
        <v>123</v>
      </c>
      <c r="E57" s="1124" t="s">
        <v>3</v>
      </c>
      <c r="F57" s="1092"/>
      <c r="G57" s="1086" t="s">
        <v>124</v>
      </c>
      <c r="H57" s="1116">
        <f>H32</f>
        <v>2011</v>
      </c>
      <c r="I57" s="1116">
        <f t="shared" ref="I57:R57" si="15">I32</f>
        <v>2012</v>
      </c>
      <c r="J57" s="1116">
        <f t="shared" si="15"/>
        <v>2013</v>
      </c>
      <c r="K57" s="1116">
        <f t="shared" si="15"/>
        <v>2014</v>
      </c>
      <c r="L57" s="1116">
        <f t="shared" si="15"/>
        <v>2015</v>
      </c>
      <c r="M57" s="1116">
        <f t="shared" si="15"/>
        <v>2016</v>
      </c>
      <c r="N57" s="1116">
        <f t="shared" si="15"/>
        <v>2017</v>
      </c>
      <c r="O57" s="1116">
        <f t="shared" si="15"/>
        <v>2018</v>
      </c>
      <c r="P57" s="1116">
        <f t="shared" si="15"/>
        <v>2019</v>
      </c>
      <c r="Q57" s="1116">
        <f t="shared" si="15"/>
        <v>2020</v>
      </c>
      <c r="R57" s="1116">
        <f t="shared" si="15"/>
        <v>2021</v>
      </c>
    </row>
    <row r="58" spans="1:18" ht="11.25" customHeight="1" x14ac:dyDescent="0.2">
      <c r="B58" s="1125" t="s">
        <v>125</v>
      </c>
      <c r="C58" s="1091" t="s">
        <v>126</v>
      </c>
      <c r="D58" s="1126" t="s">
        <v>127</v>
      </c>
      <c r="E58" s="1095" t="s">
        <v>92</v>
      </c>
      <c r="F58" s="1097"/>
      <c r="G58" s="1089" t="s">
        <v>128</v>
      </c>
      <c r="H58" s="1096">
        <v>0</v>
      </c>
      <c r="I58" s="1096">
        <v>0</v>
      </c>
      <c r="J58" s="1096">
        <v>0</v>
      </c>
      <c r="K58" s="1096">
        <v>0</v>
      </c>
      <c r="L58" s="1096">
        <v>0</v>
      </c>
      <c r="M58" s="1096">
        <v>0</v>
      </c>
      <c r="N58" s="1096">
        <v>0</v>
      </c>
      <c r="O58" s="1096">
        <v>0</v>
      </c>
      <c r="P58" s="1096">
        <v>0</v>
      </c>
      <c r="Q58" s="1096">
        <v>0</v>
      </c>
      <c r="R58" s="1096">
        <v>0</v>
      </c>
    </row>
    <row r="59" spans="1:18" ht="12" x14ac:dyDescent="0.2">
      <c r="B59" s="1125" t="s">
        <v>129</v>
      </c>
      <c r="C59" s="1127" t="s">
        <v>130</v>
      </c>
      <c r="D59" s="1126" t="s">
        <v>131</v>
      </c>
      <c r="E59" s="1095" t="s">
        <v>14</v>
      </c>
      <c r="F59" s="1097"/>
      <c r="G59" s="1128" t="s">
        <v>132</v>
      </c>
      <c r="H59" s="1096">
        <v>0</v>
      </c>
      <c r="I59" s="1096">
        <v>0</v>
      </c>
      <c r="J59" s="1096">
        <v>0</v>
      </c>
      <c r="K59" s="1096">
        <v>0</v>
      </c>
      <c r="L59" s="1096">
        <v>0</v>
      </c>
      <c r="M59" s="1096">
        <v>0</v>
      </c>
      <c r="N59" s="1096">
        <v>0</v>
      </c>
      <c r="O59" s="1096">
        <v>0</v>
      </c>
      <c r="P59" s="1096">
        <v>0</v>
      </c>
      <c r="Q59" s="1096">
        <v>0</v>
      </c>
      <c r="R59" s="1096">
        <v>0</v>
      </c>
    </row>
    <row r="60" spans="1:18" ht="12" x14ac:dyDescent="0.2">
      <c r="B60" s="1125" t="s">
        <v>133</v>
      </c>
      <c r="C60" s="1091" t="s">
        <v>134</v>
      </c>
      <c r="D60" s="1126" t="s">
        <v>135</v>
      </c>
      <c r="E60" s="1095" t="s">
        <v>14</v>
      </c>
      <c r="F60" s="1097"/>
      <c r="G60" s="1093" t="s">
        <v>136</v>
      </c>
      <c r="H60" s="1096">
        <v>246.30199999999999</v>
      </c>
      <c r="I60" s="1096">
        <v>0</v>
      </c>
      <c r="J60" s="1096">
        <v>0</v>
      </c>
      <c r="K60" s="1096">
        <v>0</v>
      </c>
      <c r="L60" s="1096">
        <v>0</v>
      </c>
      <c r="M60" s="1096">
        <v>0</v>
      </c>
      <c r="N60" s="1096">
        <v>0</v>
      </c>
      <c r="O60" s="1096">
        <v>0</v>
      </c>
      <c r="P60" s="1096">
        <v>0</v>
      </c>
      <c r="Q60" s="1096">
        <v>0</v>
      </c>
      <c r="R60" s="1096">
        <v>0</v>
      </c>
    </row>
    <row r="61" spans="1:18" ht="12" x14ac:dyDescent="0.2">
      <c r="B61" s="1125" t="s">
        <v>137</v>
      </c>
      <c r="C61" s="1091" t="s">
        <v>138</v>
      </c>
      <c r="D61" s="1091" t="s">
        <v>139</v>
      </c>
      <c r="E61" s="1095" t="s">
        <v>92</v>
      </c>
      <c r="F61" s="1097"/>
      <c r="G61" s="1093" t="s">
        <v>140</v>
      </c>
      <c r="H61" s="1096">
        <v>0</v>
      </c>
      <c r="I61" s="1096">
        <v>0</v>
      </c>
      <c r="J61" s="1096">
        <v>0</v>
      </c>
      <c r="K61" s="1096">
        <v>0</v>
      </c>
      <c r="L61" s="1096">
        <v>0</v>
      </c>
      <c r="M61" s="1096">
        <v>0</v>
      </c>
      <c r="N61" s="1096">
        <v>0</v>
      </c>
      <c r="O61" s="1096">
        <v>0</v>
      </c>
      <c r="P61" s="1096">
        <v>0</v>
      </c>
      <c r="Q61" s="1096">
        <v>0</v>
      </c>
      <c r="R61" s="1096">
        <v>0</v>
      </c>
    </row>
    <row r="62" spans="1:18" ht="12" x14ac:dyDescent="0.2">
      <c r="B62" s="1125" t="s">
        <v>141</v>
      </c>
      <c r="C62" s="1094">
        <v>253800</v>
      </c>
      <c r="D62" s="1091" t="s">
        <v>135</v>
      </c>
      <c r="E62" s="1095" t="s">
        <v>14</v>
      </c>
      <c r="F62" s="1097"/>
      <c r="G62" s="1093" t="s">
        <v>142</v>
      </c>
      <c r="H62" s="1096">
        <v>0</v>
      </c>
      <c r="I62" s="1096">
        <v>0</v>
      </c>
      <c r="J62" s="1096">
        <v>0</v>
      </c>
      <c r="K62" s="1096">
        <v>0</v>
      </c>
      <c r="L62" s="1096">
        <v>0</v>
      </c>
      <c r="M62" s="1096">
        <v>0</v>
      </c>
      <c r="N62" s="1096">
        <v>0</v>
      </c>
      <c r="O62" s="1096">
        <v>0</v>
      </c>
      <c r="P62" s="1096">
        <v>0</v>
      </c>
      <c r="Q62" s="1096">
        <v>0</v>
      </c>
      <c r="R62" s="1096">
        <v>0</v>
      </c>
    </row>
    <row r="63" spans="1:18" ht="12" x14ac:dyDescent="0.2">
      <c r="B63" s="1125" t="s">
        <v>143</v>
      </c>
      <c r="C63" s="1094">
        <v>150</v>
      </c>
      <c r="D63" s="1091" t="s">
        <v>139</v>
      </c>
      <c r="E63" s="1095" t="s">
        <v>92</v>
      </c>
      <c r="F63" s="1097"/>
      <c r="G63" s="1093" t="s">
        <v>144</v>
      </c>
      <c r="H63" s="1096">
        <v>0</v>
      </c>
      <c r="I63" s="1096">
        <v>0</v>
      </c>
      <c r="J63" s="1096">
        <v>0</v>
      </c>
      <c r="K63" s="1096">
        <v>0</v>
      </c>
      <c r="L63" s="1096">
        <v>0</v>
      </c>
      <c r="M63" s="1096">
        <v>0</v>
      </c>
      <c r="N63" s="1096">
        <v>0</v>
      </c>
      <c r="O63" s="1096">
        <v>0</v>
      </c>
      <c r="P63" s="1096">
        <v>0</v>
      </c>
      <c r="Q63" s="1096">
        <v>0</v>
      </c>
      <c r="R63" s="1096">
        <v>0</v>
      </c>
    </row>
    <row r="64" spans="1:18" ht="12" x14ac:dyDescent="0.2">
      <c r="B64" s="1125" t="s">
        <v>145</v>
      </c>
      <c r="C64" s="1091" t="s">
        <v>146</v>
      </c>
      <c r="D64" s="1091" t="s">
        <v>135</v>
      </c>
      <c r="E64" s="1095" t="s">
        <v>14</v>
      </c>
      <c r="F64" s="1097"/>
      <c r="G64" s="1093" t="s">
        <v>147</v>
      </c>
      <c r="H64" s="1096">
        <v>0</v>
      </c>
      <c r="I64" s="1096">
        <v>0</v>
      </c>
      <c r="J64" s="1096">
        <v>0</v>
      </c>
      <c r="K64" s="1096">
        <v>0</v>
      </c>
      <c r="L64" s="1096">
        <v>0</v>
      </c>
      <c r="M64" s="1096">
        <v>0</v>
      </c>
      <c r="N64" s="1096">
        <v>0</v>
      </c>
      <c r="O64" s="1096">
        <v>0</v>
      </c>
      <c r="P64" s="1096">
        <v>0</v>
      </c>
      <c r="Q64" s="1096">
        <v>0</v>
      </c>
      <c r="R64" s="1096">
        <v>0</v>
      </c>
    </row>
    <row r="65" spans="2:18" ht="12" x14ac:dyDescent="0.2">
      <c r="B65" s="1125" t="s">
        <v>148</v>
      </c>
      <c r="C65" s="1091" t="s">
        <v>149</v>
      </c>
      <c r="D65" s="1091" t="s">
        <v>139</v>
      </c>
      <c r="E65" s="1095" t="s">
        <v>92</v>
      </c>
      <c r="F65" s="1097"/>
      <c r="G65" s="1093" t="s">
        <v>150</v>
      </c>
      <c r="H65" s="1096">
        <v>0</v>
      </c>
      <c r="I65" s="1096">
        <v>0</v>
      </c>
      <c r="J65" s="1096">
        <v>0</v>
      </c>
      <c r="K65" s="1096">
        <v>0</v>
      </c>
      <c r="L65" s="1096">
        <v>0</v>
      </c>
      <c r="M65" s="1096">
        <v>0</v>
      </c>
      <c r="N65" s="1096">
        <v>0</v>
      </c>
      <c r="O65" s="1096">
        <v>0</v>
      </c>
      <c r="P65" s="1096">
        <v>0</v>
      </c>
      <c r="Q65" s="1096">
        <v>0</v>
      </c>
      <c r="R65" s="1096">
        <v>0</v>
      </c>
    </row>
    <row r="66" spans="2:18" ht="12" x14ac:dyDescent="0.2">
      <c r="B66" s="1125" t="s">
        <v>151</v>
      </c>
      <c r="C66" s="1091" t="s">
        <v>149</v>
      </c>
      <c r="D66" s="1091" t="s">
        <v>135</v>
      </c>
      <c r="E66" s="1095" t="s">
        <v>14</v>
      </c>
      <c r="F66" s="1097"/>
      <c r="G66" s="1093" t="s">
        <v>152</v>
      </c>
      <c r="H66" s="1096">
        <v>0</v>
      </c>
      <c r="I66" s="1096">
        <v>0</v>
      </c>
      <c r="J66" s="1096">
        <v>0</v>
      </c>
      <c r="K66" s="1096">
        <v>0</v>
      </c>
      <c r="L66" s="1096">
        <v>0</v>
      </c>
      <c r="M66" s="1096">
        <v>0</v>
      </c>
      <c r="N66" s="1096">
        <v>0</v>
      </c>
      <c r="O66" s="1096">
        <v>0</v>
      </c>
      <c r="P66" s="1096">
        <v>0</v>
      </c>
      <c r="Q66" s="1096">
        <v>0</v>
      </c>
      <c r="R66" s="1096">
        <v>0</v>
      </c>
    </row>
    <row r="67" spans="2:18" ht="12" x14ac:dyDescent="0.2">
      <c r="B67" s="1125" t="s">
        <v>153</v>
      </c>
      <c r="C67" s="1091" t="s">
        <v>154</v>
      </c>
      <c r="D67" s="1091" t="s">
        <v>139</v>
      </c>
      <c r="E67" s="1095" t="s">
        <v>92</v>
      </c>
      <c r="F67" s="1097"/>
      <c r="G67" s="1093" t="s">
        <v>155</v>
      </c>
      <c r="H67" s="1096">
        <v>0</v>
      </c>
      <c r="I67" s="1096">
        <v>0</v>
      </c>
      <c r="J67" s="1096">
        <v>-3.0339999999999998</v>
      </c>
      <c r="K67" s="1096">
        <v>0</v>
      </c>
      <c r="L67" s="1096">
        <v>0</v>
      </c>
      <c r="M67" s="1096">
        <v>0</v>
      </c>
      <c r="N67" s="1096">
        <v>0</v>
      </c>
      <c r="O67" s="1096">
        <v>0</v>
      </c>
      <c r="P67" s="1096">
        <v>0</v>
      </c>
      <c r="Q67" s="1096">
        <v>0</v>
      </c>
      <c r="R67" s="1096">
        <v>0</v>
      </c>
    </row>
    <row r="68" spans="2:18" ht="12" x14ac:dyDescent="0.2">
      <c r="B68" s="1125" t="s">
        <v>156</v>
      </c>
      <c r="C68" s="1091" t="s">
        <v>154</v>
      </c>
      <c r="D68" s="1091" t="s">
        <v>135</v>
      </c>
      <c r="E68" s="1095" t="s">
        <v>14</v>
      </c>
      <c r="F68" s="1097"/>
      <c r="G68" s="1093" t="s">
        <v>157</v>
      </c>
      <c r="H68" s="1096">
        <v>0</v>
      </c>
      <c r="I68" s="1096">
        <v>0</v>
      </c>
      <c r="J68" s="1096">
        <v>0</v>
      </c>
      <c r="K68" s="1096">
        <v>3.0339999999999998</v>
      </c>
      <c r="L68" s="1096">
        <v>0</v>
      </c>
      <c r="M68" s="1096">
        <v>0</v>
      </c>
      <c r="N68" s="1096">
        <v>0</v>
      </c>
      <c r="O68" s="1096">
        <v>0</v>
      </c>
      <c r="P68" s="1096">
        <v>0</v>
      </c>
      <c r="Q68" s="1096">
        <v>0</v>
      </c>
      <c r="R68" s="1096">
        <v>0</v>
      </c>
    </row>
    <row r="69" spans="2:18" ht="12" x14ac:dyDescent="0.2">
      <c r="B69" s="1125" t="s">
        <v>158</v>
      </c>
      <c r="C69" s="1091" t="s">
        <v>146</v>
      </c>
      <c r="D69" s="1091" t="s">
        <v>135</v>
      </c>
      <c r="E69" s="1095" t="s">
        <v>14</v>
      </c>
      <c r="F69" s="1097"/>
      <c r="G69" s="1093" t="s">
        <v>159</v>
      </c>
      <c r="H69" s="1096">
        <v>0</v>
      </c>
      <c r="I69" s="1096">
        <v>0</v>
      </c>
      <c r="J69" s="1096">
        <v>0</v>
      </c>
      <c r="K69" s="1096">
        <v>0</v>
      </c>
      <c r="L69" s="1096">
        <v>0</v>
      </c>
      <c r="M69" s="1096">
        <v>0</v>
      </c>
      <c r="N69" s="1096">
        <v>0</v>
      </c>
      <c r="O69" s="1096">
        <v>0</v>
      </c>
      <c r="P69" s="1096">
        <v>0</v>
      </c>
      <c r="Q69" s="1096">
        <v>0</v>
      </c>
      <c r="R69" s="1096">
        <v>0</v>
      </c>
    </row>
    <row r="70" spans="2:18" ht="12" x14ac:dyDescent="0.2">
      <c r="B70" s="1125" t="s">
        <v>160</v>
      </c>
      <c r="C70" s="1108" t="s">
        <v>161</v>
      </c>
      <c r="D70" s="1091"/>
      <c r="E70" s="1095" t="s">
        <v>75</v>
      </c>
      <c r="F70" s="1097"/>
      <c r="G70" s="1093" t="s">
        <v>110</v>
      </c>
      <c r="H70" s="1096">
        <v>2.1000000000000001E-2</v>
      </c>
      <c r="I70" s="1096">
        <v>1.3999999999999999E-2</v>
      </c>
      <c r="J70" s="1096">
        <v>4.0000000000000001E-3</v>
      </c>
      <c r="K70" s="1096">
        <v>1E-3</v>
      </c>
      <c r="L70" s="1096">
        <v>1E-3</v>
      </c>
      <c r="M70" s="1096">
        <v>0</v>
      </c>
      <c r="N70" s="1096">
        <v>0</v>
      </c>
      <c r="O70" s="1096">
        <v>0</v>
      </c>
      <c r="P70" s="1096">
        <v>0</v>
      </c>
      <c r="Q70" s="1096">
        <v>0</v>
      </c>
      <c r="R70" s="1096">
        <v>0</v>
      </c>
    </row>
    <row r="71" spans="2:18" x14ac:dyDescent="0.2">
      <c r="B71" s="1125" t="s">
        <v>162</v>
      </c>
      <c r="D71" s="1091"/>
      <c r="E71" s="1097"/>
      <c r="F71" s="1097"/>
      <c r="G71" s="1081" t="s">
        <v>163</v>
      </c>
      <c r="H71" s="1090">
        <f t="shared" ref="H71:R71" si="16">SUM(H58:H70)</f>
        <v>246.32299999999998</v>
      </c>
      <c r="I71" s="1090">
        <f t="shared" si="16"/>
        <v>1.3999999999999999E-2</v>
      </c>
      <c r="J71" s="1090">
        <f t="shared" si="16"/>
        <v>-3.03</v>
      </c>
      <c r="K71" s="1090">
        <f t="shared" si="16"/>
        <v>3.0349999999999997</v>
      </c>
      <c r="L71" s="1090">
        <f t="shared" si="16"/>
        <v>1E-3</v>
      </c>
      <c r="M71" s="1090">
        <f t="shared" si="16"/>
        <v>0</v>
      </c>
      <c r="N71" s="1090">
        <f t="shared" si="16"/>
        <v>0</v>
      </c>
      <c r="O71" s="1090">
        <f t="shared" si="16"/>
        <v>0</v>
      </c>
      <c r="P71" s="1090">
        <f t="shared" si="16"/>
        <v>0</v>
      </c>
      <c r="Q71" s="1090">
        <f t="shared" si="16"/>
        <v>0</v>
      </c>
      <c r="R71" s="1090">
        <f t="shared" si="16"/>
        <v>0</v>
      </c>
    </row>
    <row r="72" spans="2:18" x14ac:dyDescent="0.2">
      <c r="D72" s="1091"/>
    </row>
    <row r="73" spans="2:18" x14ac:dyDescent="0.2">
      <c r="D73" s="1123" t="s">
        <v>123</v>
      </c>
      <c r="E73" s="1124" t="s">
        <v>3</v>
      </c>
      <c r="F73" s="1092"/>
      <c r="G73" s="1086" t="s">
        <v>164</v>
      </c>
      <c r="H73" s="1116">
        <f t="shared" ref="H73:R73" si="17">H57</f>
        <v>2011</v>
      </c>
      <c r="I73" s="1116">
        <f t="shared" si="17"/>
        <v>2012</v>
      </c>
      <c r="J73" s="1116">
        <f t="shared" si="17"/>
        <v>2013</v>
      </c>
      <c r="K73" s="1116">
        <f t="shared" si="17"/>
        <v>2014</v>
      </c>
      <c r="L73" s="1116">
        <f t="shared" si="17"/>
        <v>2015</v>
      </c>
      <c r="M73" s="1116">
        <f t="shared" si="17"/>
        <v>2016</v>
      </c>
      <c r="N73" s="1116">
        <f t="shared" si="17"/>
        <v>2017</v>
      </c>
      <c r="O73" s="1116">
        <f t="shared" si="17"/>
        <v>2018</v>
      </c>
      <c r="P73" s="1116">
        <f t="shared" si="17"/>
        <v>2019</v>
      </c>
      <c r="Q73" s="1116">
        <f t="shared" si="17"/>
        <v>2020</v>
      </c>
      <c r="R73" s="1116">
        <f t="shared" si="17"/>
        <v>2021</v>
      </c>
    </row>
    <row r="74" spans="2:18" ht="12" x14ac:dyDescent="0.2">
      <c r="B74" s="1077" t="s">
        <v>165</v>
      </c>
      <c r="C74" s="1091" t="s">
        <v>166</v>
      </c>
      <c r="D74" s="1091" t="s">
        <v>131</v>
      </c>
      <c r="E74" s="1095" t="s">
        <v>14</v>
      </c>
      <c r="G74" s="1089" t="s">
        <v>167</v>
      </c>
      <c r="H74" s="1096">
        <v>0</v>
      </c>
      <c r="I74" s="1096">
        <v>0</v>
      </c>
      <c r="J74" s="1096">
        <v>0</v>
      </c>
      <c r="K74" s="1096">
        <v>0</v>
      </c>
      <c r="L74" s="1096">
        <v>0</v>
      </c>
      <c r="M74" s="1096">
        <v>0</v>
      </c>
      <c r="N74" s="1096">
        <v>0</v>
      </c>
      <c r="O74" s="1096">
        <v>0</v>
      </c>
      <c r="P74" s="1096">
        <v>0</v>
      </c>
      <c r="Q74" s="1096">
        <v>0</v>
      </c>
      <c r="R74" s="1096">
        <v>0</v>
      </c>
    </row>
    <row r="75" spans="2:18" ht="12" x14ac:dyDescent="0.2">
      <c r="B75" s="1077" t="s">
        <v>168</v>
      </c>
      <c r="C75" s="1091" t="s">
        <v>166</v>
      </c>
      <c r="D75" s="1091" t="s">
        <v>127</v>
      </c>
      <c r="E75" s="1095" t="s">
        <v>92</v>
      </c>
      <c r="F75" s="1097"/>
      <c r="G75" s="1093" t="s">
        <v>169</v>
      </c>
      <c r="H75" s="1096">
        <v>0</v>
      </c>
      <c r="I75" s="1096">
        <v>0</v>
      </c>
      <c r="J75" s="1096">
        <v>0</v>
      </c>
      <c r="K75" s="1096">
        <v>0</v>
      </c>
      <c r="L75" s="1096">
        <v>0</v>
      </c>
      <c r="M75" s="1096">
        <v>0</v>
      </c>
      <c r="N75" s="1096">
        <v>0</v>
      </c>
      <c r="O75" s="1096">
        <v>0</v>
      </c>
      <c r="P75" s="1096">
        <v>0</v>
      </c>
      <c r="Q75" s="1096">
        <v>0</v>
      </c>
      <c r="R75" s="1096">
        <v>0</v>
      </c>
    </row>
    <row r="76" spans="2:18" ht="12" x14ac:dyDescent="0.2">
      <c r="B76" s="1077" t="s">
        <v>170</v>
      </c>
      <c r="C76" s="1091" t="s">
        <v>171</v>
      </c>
      <c r="D76" s="1091" t="s">
        <v>135</v>
      </c>
      <c r="E76" s="1095" t="s">
        <v>14</v>
      </c>
      <c r="G76" s="1093" t="s">
        <v>172</v>
      </c>
      <c r="H76" s="1096">
        <v>0</v>
      </c>
      <c r="I76" s="1096">
        <v>73</v>
      </c>
      <c r="J76" s="1096">
        <v>0</v>
      </c>
      <c r="K76" s="1096">
        <v>0</v>
      </c>
      <c r="L76" s="1096">
        <v>0</v>
      </c>
      <c r="M76" s="1096">
        <v>0</v>
      </c>
      <c r="N76" s="1096">
        <v>0</v>
      </c>
      <c r="O76" s="1096">
        <v>0</v>
      </c>
      <c r="P76" s="1096">
        <v>0</v>
      </c>
      <c r="Q76" s="1096">
        <v>0</v>
      </c>
      <c r="R76" s="1096">
        <v>0</v>
      </c>
    </row>
    <row r="77" spans="2:18" ht="12" x14ac:dyDescent="0.2">
      <c r="B77" s="1077" t="s">
        <v>173</v>
      </c>
      <c r="C77" s="1091" t="s">
        <v>171</v>
      </c>
      <c r="D77" s="1091" t="s">
        <v>139</v>
      </c>
      <c r="E77" s="1095" t="s">
        <v>92</v>
      </c>
      <c r="F77" s="1097"/>
      <c r="G77" s="1093" t="s">
        <v>174</v>
      </c>
      <c r="H77" s="1096">
        <v>0</v>
      </c>
      <c r="I77" s="1096">
        <v>0</v>
      </c>
      <c r="J77" s="1096">
        <v>-73</v>
      </c>
      <c r="K77" s="1096">
        <v>0</v>
      </c>
      <c r="L77" s="1096">
        <v>0</v>
      </c>
      <c r="M77" s="1096">
        <v>0</v>
      </c>
      <c r="N77" s="1096">
        <v>0</v>
      </c>
      <c r="O77" s="1096">
        <v>0</v>
      </c>
      <c r="P77" s="1096">
        <v>0</v>
      </c>
      <c r="Q77" s="1096">
        <v>0</v>
      </c>
      <c r="R77" s="1096">
        <v>0</v>
      </c>
    </row>
    <row r="78" spans="2:18" ht="12" x14ac:dyDescent="0.2">
      <c r="B78" s="1077" t="s">
        <v>175</v>
      </c>
      <c r="C78" s="1091" t="s">
        <v>176</v>
      </c>
      <c r="D78" s="1091" t="s">
        <v>139</v>
      </c>
      <c r="E78" s="1095" t="s">
        <v>92</v>
      </c>
      <c r="F78" s="1097"/>
      <c r="G78" s="1093" t="s">
        <v>177</v>
      </c>
      <c r="H78" s="1096">
        <v>0</v>
      </c>
      <c r="I78" s="1096">
        <v>0</v>
      </c>
      <c r="J78" s="1096">
        <v>0</v>
      </c>
      <c r="K78" s="1096">
        <v>0</v>
      </c>
      <c r="L78" s="1096">
        <v>0</v>
      </c>
      <c r="M78" s="1096">
        <v>0</v>
      </c>
      <c r="N78" s="1096">
        <v>0</v>
      </c>
      <c r="O78" s="1096">
        <v>0</v>
      </c>
      <c r="P78" s="1096">
        <v>0</v>
      </c>
      <c r="Q78" s="1096">
        <v>0</v>
      </c>
      <c r="R78" s="1096">
        <v>0</v>
      </c>
    </row>
    <row r="79" spans="2:18" ht="12" x14ac:dyDescent="0.2">
      <c r="B79" s="1077" t="s">
        <v>178</v>
      </c>
      <c r="C79" s="1091" t="s">
        <v>179</v>
      </c>
      <c r="D79" s="1091" t="s">
        <v>139</v>
      </c>
      <c r="E79" s="1095" t="s">
        <v>92</v>
      </c>
      <c r="F79" s="1097"/>
      <c r="G79" s="1093" t="s">
        <v>180</v>
      </c>
      <c r="H79" s="1096">
        <v>-26.242000000000001</v>
      </c>
      <c r="I79" s="1096">
        <v>-10.26</v>
      </c>
      <c r="J79" s="1096">
        <v>-1.304</v>
      </c>
      <c r="K79" s="1096">
        <v>0</v>
      </c>
      <c r="L79" s="1096">
        <v>0</v>
      </c>
      <c r="M79" s="1096">
        <v>0</v>
      </c>
      <c r="N79" s="1096">
        <v>0</v>
      </c>
      <c r="O79" s="1096">
        <v>0</v>
      </c>
      <c r="P79" s="1096">
        <v>0</v>
      </c>
      <c r="Q79" s="1096">
        <v>0</v>
      </c>
      <c r="R79" s="1096">
        <v>0</v>
      </c>
    </row>
    <row r="80" spans="2:18" ht="12" x14ac:dyDescent="0.2">
      <c r="B80" s="1077" t="s">
        <v>181</v>
      </c>
      <c r="C80" s="1091" t="s">
        <v>182</v>
      </c>
      <c r="D80" s="1091" t="s">
        <v>139</v>
      </c>
      <c r="E80" s="1095" t="s">
        <v>92</v>
      </c>
      <c r="F80" s="1097"/>
      <c r="G80" s="1093" t="s">
        <v>183</v>
      </c>
      <c r="H80" s="1096">
        <v>-229.405</v>
      </c>
      <c r="I80" s="1096">
        <v>-246.30199999999999</v>
      </c>
      <c r="J80" s="1096">
        <v>0</v>
      </c>
      <c r="K80" s="1096">
        <v>0</v>
      </c>
      <c r="L80" s="1096">
        <v>0</v>
      </c>
      <c r="M80" s="1096">
        <v>0</v>
      </c>
      <c r="N80" s="1096">
        <v>0</v>
      </c>
      <c r="O80" s="1096">
        <v>0</v>
      </c>
      <c r="P80" s="1096">
        <v>0</v>
      </c>
      <c r="Q80" s="1096">
        <v>0</v>
      </c>
      <c r="R80" s="1096">
        <v>0</v>
      </c>
    </row>
    <row r="81" spans="1:18" ht="12" x14ac:dyDescent="0.2">
      <c r="B81" s="1077" t="s">
        <v>184</v>
      </c>
      <c r="C81" s="1091" t="s">
        <v>55</v>
      </c>
      <c r="D81" s="1091" t="s">
        <v>139</v>
      </c>
      <c r="E81" s="1095" t="s">
        <v>92</v>
      </c>
      <c r="F81" s="1097"/>
      <c r="G81" s="1093" t="s">
        <v>185</v>
      </c>
      <c r="H81" s="1096">
        <v>0</v>
      </c>
      <c r="I81" s="1096">
        <v>0</v>
      </c>
      <c r="J81" s="1096">
        <v>0</v>
      </c>
      <c r="K81" s="1096">
        <v>0</v>
      </c>
      <c r="L81" s="1096">
        <v>0</v>
      </c>
      <c r="M81" s="1096">
        <v>0</v>
      </c>
      <c r="N81" s="1096">
        <v>0</v>
      </c>
      <c r="O81" s="1096">
        <v>0</v>
      </c>
      <c r="P81" s="1096">
        <v>0</v>
      </c>
      <c r="Q81" s="1096">
        <v>0</v>
      </c>
      <c r="R81" s="1096">
        <v>0</v>
      </c>
    </row>
    <row r="82" spans="1:18" ht="12" x14ac:dyDescent="0.2">
      <c r="B82" s="1077" t="s">
        <v>186</v>
      </c>
      <c r="C82" s="1091" t="s">
        <v>187</v>
      </c>
      <c r="D82" s="1091" t="s">
        <v>135</v>
      </c>
      <c r="E82" s="1095" t="s">
        <v>14</v>
      </c>
      <c r="G82" s="1093" t="s">
        <v>188</v>
      </c>
      <c r="H82" s="1096">
        <v>0</v>
      </c>
      <c r="I82" s="1096">
        <v>0</v>
      </c>
      <c r="J82" s="1096">
        <v>0</v>
      </c>
      <c r="K82" s="1096">
        <v>0</v>
      </c>
      <c r="L82" s="1096">
        <v>0</v>
      </c>
      <c r="M82" s="1096">
        <v>0</v>
      </c>
      <c r="N82" s="1096">
        <v>0</v>
      </c>
      <c r="O82" s="1096">
        <v>0</v>
      </c>
      <c r="P82" s="1096">
        <v>0</v>
      </c>
      <c r="Q82" s="1096">
        <v>0</v>
      </c>
      <c r="R82" s="1096">
        <v>0</v>
      </c>
    </row>
    <row r="83" spans="1:18" ht="12" x14ac:dyDescent="0.2">
      <c r="B83" s="1077" t="s">
        <v>189</v>
      </c>
      <c r="C83" s="1091" t="s">
        <v>187</v>
      </c>
      <c r="D83" s="1091" t="s">
        <v>139</v>
      </c>
      <c r="E83" s="1095" t="s">
        <v>92</v>
      </c>
      <c r="F83" s="1097"/>
      <c r="G83" s="1093" t="s">
        <v>190</v>
      </c>
      <c r="H83" s="1096">
        <v>0</v>
      </c>
      <c r="I83" s="1096">
        <v>0</v>
      </c>
      <c r="J83" s="1096">
        <v>0</v>
      </c>
      <c r="K83" s="1096">
        <v>0</v>
      </c>
      <c r="L83" s="1096">
        <v>0</v>
      </c>
      <c r="M83" s="1096">
        <v>0</v>
      </c>
      <c r="N83" s="1096">
        <v>0</v>
      </c>
      <c r="O83" s="1096">
        <v>0</v>
      </c>
      <c r="P83" s="1096">
        <v>0</v>
      </c>
      <c r="Q83" s="1096">
        <v>0</v>
      </c>
      <c r="R83" s="1096">
        <v>0</v>
      </c>
    </row>
    <row r="84" spans="1:18" ht="12" x14ac:dyDescent="0.2">
      <c r="B84" s="1077" t="s">
        <v>191</v>
      </c>
      <c r="C84" s="1094">
        <v>68</v>
      </c>
      <c r="D84" s="1091" t="s">
        <v>139</v>
      </c>
      <c r="E84" s="1095" t="s">
        <v>92</v>
      </c>
      <c r="F84" s="1097"/>
      <c r="G84" s="1130" t="s">
        <v>114</v>
      </c>
      <c r="H84" s="1096">
        <v>0</v>
      </c>
      <c r="I84" s="1096">
        <v>0</v>
      </c>
      <c r="J84" s="1096">
        <v>0</v>
      </c>
      <c r="K84" s="1096">
        <v>0</v>
      </c>
      <c r="L84" s="1096">
        <v>0</v>
      </c>
      <c r="M84" s="1096">
        <v>0</v>
      </c>
      <c r="N84" s="1096">
        <v>0</v>
      </c>
      <c r="O84" s="1096">
        <v>0</v>
      </c>
      <c r="P84" s="1096">
        <v>0</v>
      </c>
      <c r="Q84" s="1096">
        <v>0</v>
      </c>
      <c r="R84" s="1096">
        <v>0</v>
      </c>
    </row>
    <row r="85" spans="1:18" x14ac:dyDescent="0.2">
      <c r="B85" s="1077" t="s">
        <v>192</v>
      </c>
      <c r="G85" s="1130" t="s">
        <v>163</v>
      </c>
      <c r="H85" s="1090">
        <f t="shared" ref="H85:R85" si="18">SUM(H74:H84)</f>
        <v>-255.64699999999999</v>
      </c>
      <c r="I85" s="1090">
        <f t="shared" si="18"/>
        <v>-183.56199999999998</v>
      </c>
      <c r="J85" s="1090">
        <f t="shared" si="18"/>
        <v>-74.304000000000002</v>
      </c>
      <c r="K85" s="1090">
        <f t="shared" si="18"/>
        <v>0</v>
      </c>
      <c r="L85" s="1090">
        <f t="shared" si="18"/>
        <v>0</v>
      </c>
      <c r="M85" s="1090">
        <f t="shared" si="18"/>
        <v>0</v>
      </c>
      <c r="N85" s="1090">
        <f t="shared" si="18"/>
        <v>0</v>
      </c>
      <c r="O85" s="1090">
        <f t="shared" si="18"/>
        <v>0</v>
      </c>
      <c r="P85" s="1090">
        <f t="shared" si="18"/>
        <v>0</v>
      </c>
      <c r="Q85" s="1090">
        <f t="shared" si="18"/>
        <v>0</v>
      </c>
      <c r="R85" s="1090">
        <f t="shared" si="18"/>
        <v>0</v>
      </c>
    </row>
    <row r="87" spans="1:18" x14ac:dyDescent="0.2">
      <c r="A87" s="1098" t="s">
        <v>0</v>
      </c>
      <c r="D87" s="1301" t="s">
        <v>193</v>
      </c>
      <c r="E87" s="1301"/>
      <c r="G87" s="1086" t="s">
        <v>194</v>
      </c>
      <c r="H87" s="1116">
        <f t="shared" ref="H87:R87" si="19">H32</f>
        <v>2011</v>
      </c>
      <c r="I87" s="1116">
        <f t="shared" si="19"/>
        <v>2012</v>
      </c>
      <c r="J87" s="1116">
        <f t="shared" si="19"/>
        <v>2013</v>
      </c>
      <c r="K87" s="1116">
        <f t="shared" si="19"/>
        <v>2014</v>
      </c>
      <c r="L87" s="1116">
        <f t="shared" si="19"/>
        <v>2015</v>
      </c>
      <c r="M87" s="1116">
        <f t="shared" si="19"/>
        <v>2016</v>
      </c>
      <c r="N87" s="1116">
        <f t="shared" si="19"/>
        <v>2017</v>
      </c>
      <c r="O87" s="1116">
        <f t="shared" si="19"/>
        <v>2018</v>
      </c>
      <c r="P87" s="1116">
        <f t="shared" si="19"/>
        <v>2019</v>
      </c>
      <c r="Q87" s="1116">
        <f t="shared" si="19"/>
        <v>2020</v>
      </c>
      <c r="R87" s="1116">
        <f t="shared" si="19"/>
        <v>2021</v>
      </c>
    </row>
    <row r="88" spans="1:18" x14ac:dyDescent="0.2">
      <c r="A88" s="1091" t="s">
        <v>195</v>
      </c>
      <c r="B88" s="1077" t="s">
        <v>196</v>
      </c>
      <c r="C88" s="1091" t="s">
        <v>197</v>
      </c>
      <c r="E88" s="1131"/>
      <c r="G88" s="1089" t="s">
        <v>198</v>
      </c>
      <c r="H88" s="1090">
        <f>H46+H71</f>
        <v>259.05500000000001</v>
      </c>
      <c r="I88" s="1090">
        <f t="shared" ref="I88:R88" si="20">I46+I71</f>
        <v>14.592999999999979</v>
      </c>
      <c r="J88" s="1090">
        <f t="shared" si="20"/>
        <v>-0.97400000000000242</v>
      </c>
      <c r="K88" s="1090">
        <f t="shared" si="20"/>
        <v>8.7720000000000091</v>
      </c>
      <c r="L88" s="1090">
        <f t="shared" si="20"/>
        <v>-2.9410000000000074</v>
      </c>
      <c r="M88" s="1090">
        <f t="shared" si="20"/>
        <v>-2</v>
      </c>
      <c r="N88" s="1090">
        <f t="shared" si="20"/>
        <v>101</v>
      </c>
      <c r="O88" s="1090">
        <f t="shared" si="20"/>
        <v>600</v>
      </c>
      <c r="P88" s="1090">
        <f t="shared" si="20"/>
        <v>-701</v>
      </c>
      <c r="Q88" s="1090">
        <f t="shared" si="20"/>
        <v>3</v>
      </c>
      <c r="R88" s="1090">
        <f t="shared" si="20"/>
        <v>2</v>
      </c>
    </row>
    <row r="89" spans="1:18" x14ac:dyDescent="0.2">
      <c r="A89" s="1091" t="s">
        <v>199</v>
      </c>
      <c r="B89" s="1077" t="s">
        <v>200</v>
      </c>
      <c r="C89" s="1091" t="s">
        <v>201</v>
      </c>
      <c r="E89" s="1131"/>
      <c r="G89" s="1089" t="s">
        <v>202</v>
      </c>
      <c r="H89" s="1132">
        <f t="shared" ref="H89:R89" si="21">H33+H38+H41-H45</f>
        <v>13.654000000000014</v>
      </c>
      <c r="I89" s="1090">
        <f t="shared" si="21"/>
        <v>15.50099999999998</v>
      </c>
      <c r="J89" s="1090">
        <f t="shared" si="21"/>
        <v>2.9779999999999975</v>
      </c>
      <c r="K89" s="1090">
        <f t="shared" si="21"/>
        <v>6.6590000000000087</v>
      </c>
      <c r="L89" s="1090">
        <f t="shared" si="21"/>
        <v>-2.0200000000000071</v>
      </c>
      <c r="M89" s="1090">
        <f t="shared" si="21"/>
        <v>-1</v>
      </c>
      <c r="N89" s="1090">
        <f t="shared" si="21"/>
        <v>101</v>
      </c>
      <c r="O89" s="1090">
        <f t="shared" si="21"/>
        <v>600</v>
      </c>
      <c r="P89" s="1090">
        <f t="shared" si="21"/>
        <v>-700</v>
      </c>
      <c r="Q89" s="1090">
        <f t="shared" si="21"/>
        <v>3</v>
      </c>
      <c r="R89" s="1090">
        <f t="shared" si="21"/>
        <v>3</v>
      </c>
    </row>
    <row r="90" spans="1:18" x14ac:dyDescent="0.2">
      <c r="A90" s="1091" t="s">
        <v>203</v>
      </c>
      <c r="B90" s="1077" t="s">
        <v>204</v>
      </c>
      <c r="C90" s="1091" t="s">
        <v>205</v>
      </c>
      <c r="E90" s="1133">
        <v>0</v>
      </c>
      <c r="G90" s="1130" t="s">
        <v>206</v>
      </c>
      <c r="H90" s="1134">
        <f t="shared" ref="H90:R90" si="22">H89/H33</f>
        <v>0.15079961123873492</v>
      </c>
      <c r="I90" s="1135">
        <f t="shared" si="22"/>
        <v>0.10431850760130007</v>
      </c>
      <c r="J90" s="1135">
        <f t="shared" si="22"/>
        <v>3.6150428512466894E-2</v>
      </c>
      <c r="K90" s="1135">
        <f t="shared" si="22"/>
        <v>8.5471511635369576E-2</v>
      </c>
      <c r="L90" s="1135">
        <f t="shared" si="22"/>
        <v>-2.0447620686513752E-2</v>
      </c>
      <c r="M90" s="1135">
        <f t="shared" si="22"/>
        <v>-1.3513513513513514E-2</v>
      </c>
      <c r="N90" s="1135">
        <f t="shared" si="22"/>
        <v>0.57386363636363635</v>
      </c>
      <c r="O90" s="1135">
        <f t="shared" si="22"/>
        <v>0.88235294117647056</v>
      </c>
      <c r="P90" s="1135">
        <f t="shared" si="22"/>
        <v>-8.75</v>
      </c>
      <c r="Q90" s="1135">
        <f t="shared" si="22"/>
        <v>3.614457831325301E-2</v>
      </c>
      <c r="R90" s="1135">
        <f t="shared" si="22"/>
        <v>3.614457831325301E-2</v>
      </c>
    </row>
    <row r="91" spans="1:18" x14ac:dyDescent="0.2">
      <c r="A91" s="1091" t="s">
        <v>207</v>
      </c>
      <c r="B91" s="1077" t="s">
        <v>208</v>
      </c>
      <c r="C91" s="1091" t="s">
        <v>209</v>
      </c>
      <c r="E91" s="1131"/>
      <c r="G91" s="1093" t="s">
        <v>210</v>
      </c>
      <c r="H91" s="1136">
        <f t="shared" ref="H91:R91" si="23">-H33/(H38+H41)</f>
        <v>1.1636251477921145</v>
      </c>
      <c r="I91" s="1136">
        <f t="shared" si="23"/>
        <v>1.1087871416419179</v>
      </c>
      <c r="J91" s="1136">
        <f t="shared" si="23"/>
        <v>1.0255969721869476</v>
      </c>
      <c r="K91" s="1136">
        <f t="shared" si="23"/>
        <v>1.0794906611982487</v>
      </c>
      <c r="L91" s="1136">
        <f t="shared" si="23"/>
        <v>0.97108059490224208</v>
      </c>
      <c r="M91" s="1136">
        <f t="shared" si="23"/>
        <v>0.97368421052631582</v>
      </c>
      <c r="N91" s="1136">
        <f t="shared" si="23"/>
        <v>2.3466666666666667</v>
      </c>
      <c r="O91" s="1136">
        <f t="shared" si="23"/>
        <v>8.5</v>
      </c>
      <c r="P91" s="1136">
        <f t="shared" si="23"/>
        <v>0.10243277848911651</v>
      </c>
      <c r="Q91" s="1136">
        <f t="shared" si="23"/>
        <v>1.0375000000000001</v>
      </c>
      <c r="R91" s="1136">
        <f t="shared" si="23"/>
        <v>1.0246913580246915</v>
      </c>
    </row>
    <row r="92" spans="1:18" x14ac:dyDescent="0.2">
      <c r="A92" s="1091" t="s">
        <v>211</v>
      </c>
      <c r="B92" s="1077" t="s">
        <v>212</v>
      </c>
      <c r="C92" s="1091" t="s">
        <v>213</v>
      </c>
      <c r="E92" s="1131"/>
      <c r="G92" s="1089" t="s">
        <v>214</v>
      </c>
      <c r="H92" s="1132">
        <f>H46</f>
        <v>12.732000000000014</v>
      </c>
      <c r="I92" s="1132">
        <f t="shared" ref="I92:R92" si="24">I46</f>
        <v>14.578999999999979</v>
      </c>
      <c r="J92" s="1132">
        <f t="shared" si="24"/>
        <v>2.0559999999999974</v>
      </c>
      <c r="K92" s="1132">
        <f t="shared" si="24"/>
        <v>5.737000000000009</v>
      </c>
      <c r="L92" s="1132">
        <f t="shared" si="24"/>
        <v>-2.9420000000000073</v>
      </c>
      <c r="M92" s="1132">
        <f t="shared" si="24"/>
        <v>-2</v>
      </c>
      <c r="N92" s="1132">
        <f t="shared" si="24"/>
        <v>101</v>
      </c>
      <c r="O92" s="1132">
        <f t="shared" si="24"/>
        <v>600</v>
      </c>
      <c r="P92" s="1132">
        <f t="shared" si="24"/>
        <v>-701</v>
      </c>
      <c r="Q92" s="1132">
        <f t="shared" si="24"/>
        <v>3</v>
      </c>
      <c r="R92" s="1132">
        <f t="shared" si="24"/>
        <v>2</v>
      </c>
    </row>
    <row r="93" spans="1:18" x14ac:dyDescent="0.2">
      <c r="A93" s="1091" t="s">
        <v>215</v>
      </c>
      <c r="B93" s="1077" t="s">
        <v>216</v>
      </c>
      <c r="C93" s="1091" t="s">
        <v>217</v>
      </c>
      <c r="D93" s="1133">
        <v>-0.30000000000000004</v>
      </c>
      <c r="E93" s="1133">
        <v>0</v>
      </c>
      <c r="G93" s="1093" t="s">
        <v>218</v>
      </c>
      <c r="H93" s="1137">
        <f>H46/H33</f>
        <v>0.14061671673440554</v>
      </c>
      <c r="I93" s="1138">
        <f t="shared" ref="I93:R93" si="25">I46/I33</f>
        <v>9.8113639269682834E-2</v>
      </c>
      <c r="J93" s="1139">
        <f t="shared" si="25"/>
        <v>2.4958119886377399E-2</v>
      </c>
      <c r="K93" s="1139">
        <f t="shared" si="25"/>
        <v>7.3637192108742366E-2</v>
      </c>
      <c r="L93" s="1139">
        <f t="shared" si="25"/>
        <v>-2.9780643593922473E-2</v>
      </c>
      <c r="M93" s="1139">
        <f t="shared" si="25"/>
        <v>-2.7027027027027029E-2</v>
      </c>
      <c r="N93" s="1139">
        <f t="shared" si="25"/>
        <v>0.57386363636363635</v>
      </c>
      <c r="O93" s="1139">
        <f t="shared" si="25"/>
        <v>0.88235294117647056</v>
      </c>
      <c r="P93" s="1139">
        <f t="shared" si="25"/>
        <v>-8.7624999999999993</v>
      </c>
      <c r="Q93" s="1139">
        <f t="shared" si="25"/>
        <v>3.614457831325301E-2</v>
      </c>
      <c r="R93" s="1139">
        <f t="shared" si="25"/>
        <v>2.4096385542168676E-2</v>
      </c>
    </row>
    <row r="94" spans="1:18" x14ac:dyDescent="0.2">
      <c r="A94" s="1091" t="s">
        <v>219</v>
      </c>
      <c r="B94" s="1077" t="s">
        <v>220</v>
      </c>
      <c r="C94" s="1091" t="s">
        <v>221</v>
      </c>
      <c r="E94" s="1131"/>
      <c r="G94" s="1130" t="s">
        <v>222</v>
      </c>
      <c r="H94" s="1132">
        <f>H29+H30</f>
        <v>2.2319999999999993</v>
      </c>
      <c r="I94" s="1132">
        <f t="shared" ref="I94:R94" si="26">I29+I30</f>
        <v>6.5630000000000006</v>
      </c>
      <c r="J94" s="1132">
        <f t="shared" si="26"/>
        <v>7.3159999999999998</v>
      </c>
      <c r="K94" s="1132">
        <f t="shared" si="26"/>
        <v>13.055</v>
      </c>
      <c r="L94" s="1132">
        <f t="shared" si="26"/>
        <v>10.111000000000001</v>
      </c>
      <c r="M94" s="1132">
        <f t="shared" si="26"/>
        <v>8</v>
      </c>
      <c r="N94" s="1132">
        <f t="shared" si="26"/>
        <v>110</v>
      </c>
      <c r="O94" s="1132">
        <f t="shared" si="26"/>
        <v>710</v>
      </c>
      <c r="P94" s="1132">
        <f t="shared" si="26"/>
        <v>9</v>
      </c>
      <c r="Q94" s="1132">
        <f t="shared" si="26"/>
        <v>13</v>
      </c>
      <c r="R94" s="1132">
        <f t="shared" si="26"/>
        <v>12</v>
      </c>
    </row>
    <row r="95" spans="1:18" x14ac:dyDescent="0.2">
      <c r="G95" s="1140" t="s">
        <v>223</v>
      </c>
      <c r="H95" s="1116">
        <f t="shared" ref="H95:R95" si="27">H87</f>
        <v>2011</v>
      </c>
      <c r="I95" s="1116">
        <f t="shared" si="27"/>
        <v>2012</v>
      </c>
      <c r="J95" s="1116">
        <f t="shared" si="27"/>
        <v>2013</v>
      </c>
      <c r="K95" s="1116">
        <f t="shared" si="27"/>
        <v>2014</v>
      </c>
      <c r="L95" s="1116">
        <f t="shared" si="27"/>
        <v>2015</v>
      </c>
      <c r="M95" s="1116">
        <f t="shared" si="27"/>
        <v>2016</v>
      </c>
      <c r="N95" s="1116">
        <f t="shared" si="27"/>
        <v>2017</v>
      </c>
      <c r="O95" s="1116">
        <f t="shared" si="27"/>
        <v>2018</v>
      </c>
      <c r="P95" s="1116">
        <f t="shared" si="27"/>
        <v>2019</v>
      </c>
      <c r="Q95" s="1116">
        <f t="shared" si="27"/>
        <v>2020</v>
      </c>
      <c r="R95" s="1116">
        <f t="shared" si="27"/>
        <v>2021</v>
      </c>
    </row>
    <row r="96" spans="1:18" x14ac:dyDescent="0.2">
      <c r="A96" s="1091" t="s">
        <v>224</v>
      </c>
      <c r="B96" s="1077" t="s">
        <v>225</v>
      </c>
      <c r="C96" s="1094" t="s">
        <v>226</v>
      </c>
      <c r="E96" s="1131"/>
      <c r="F96" s="1141"/>
      <c r="G96" s="1089" t="s">
        <v>227</v>
      </c>
      <c r="H96" s="1132">
        <f t="shared" ref="H96:R96" si="28">H6+H12</f>
        <v>14.759</v>
      </c>
      <c r="I96" s="1090">
        <f t="shared" si="28"/>
        <v>21.986000000000001</v>
      </c>
      <c r="J96" s="1090">
        <f t="shared" si="28"/>
        <v>15.643000000000001</v>
      </c>
      <c r="K96" s="1090">
        <f t="shared" si="28"/>
        <v>27.3</v>
      </c>
      <c r="L96" s="1090">
        <f t="shared" si="28"/>
        <v>14.869</v>
      </c>
      <c r="M96" s="1090">
        <f t="shared" si="28"/>
        <v>15</v>
      </c>
      <c r="N96" s="1090">
        <f t="shared" si="28"/>
        <v>116</v>
      </c>
      <c r="O96" s="1090">
        <f t="shared" si="28"/>
        <v>716</v>
      </c>
      <c r="P96" s="1090">
        <f t="shared" si="28"/>
        <v>16</v>
      </c>
      <c r="Q96" s="1090">
        <f t="shared" si="28"/>
        <v>19</v>
      </c>
      <c r="R96" s="1090">
        <f t="shared" si="28"/>
        <v>19</v>
      </c>
    </row>
    <row r="97" spans="1:18" x14ac:dyDescent="0.2">
      <c r="A97" s="1091" t="s">
        <v>228</v>
      </c>
      <c r="B97" s="1077" t="s">
        <v>229</v>
      </c>
      <c r="C97" s="1091" t="s">
        <v>45</v>
      </c>
      <c r="E97" s="1131"/>
      <c r="F97" s="1141"/>
      <c r="G97" s="1093" t="s">
        <v>230</v>
      </c>
      <c r="H97" s="1132">
        <f>H19</f>
        <v>262.08199999999999</v>
      </c>
      <c r="I97" s="1132">
        <f t="shared" ref="I97:R97" si="29">I19</f>
        <v>88.819000000000003</v>
      </c>
      <c r="J97" s="1132">
        <f t="shared" si="29"/>
        <v>11.926</v>
      </c>
      <c r="K97" s="1132">
        <f t="shared" si="29"/>
        <v>17.234999999999999</v>
      </c>
      <c r="L97" s="1132">
        <f t="shared" si="29"/>
        <v>7.1589999999999998</v>
      </c>
      <c r="M97" s="1132">
        <f t="shared" si="29"/>
        <v>6</v>
      </c>
      <c r="N97" s="1132">
        <f t="shared" si="29"/>
        <v>6</v>
      </c>
      <c r="O97" s="1132">
        <f t="shared" si="29"/>
        <v>6</v>
      </c>
      <c r="P97" s="1132">
        <f t="shared" si="29"/>
        <v>6</v>
      </c>
      <c r="Q97" s="1132">
        <f t="shared" si="29"/>
        <v>6</v>
      </c>
      <c r="R97" s="1132">
        <f t="shared" si="29"/>
        <v>6</v>
      </c>
    </row>
    <row r="98" spans="1:18" x14ac:dyDescent="0.2">
      <c r="A98" s="1091" t="s">
        <v>231</v>
      </c>
      <c r="B98" s="1077" t="s">
        <v>232</v>
      </c>
      <c r="C98" s="1091" t="s">
        <v>233</v>
      </c>
      <c r="E98" s="1131"/>
      <c r="F98" s="1141"/>
      <c r="G98" s="1093" t="s">
        <v>234</v>
      </c>
      <c r="H98" s="1132">
        <f t="shared" ref="H98:R98" si="30">H97-H96</f>
        <v>247.32299999999998</v>
      </c>
      <c r="I98" s="1090">
        <f t="shared" si="30"/>
        <v>66.832999999999998</v>
      </c>
      <c r="J98" s="1090">
        <f t="shared" si="30"/>
        <v>-3.7170000000000005</v>
      </c>
      <c r="K98" s="1090">
        <f t="shared" si="30"/>
        <v>-10.065000000000001</v>
      </c>
      <c r="L98" s="1090">
        <f t="shared" si="30"/>
        <v>-7.71</v>
      </c>
      <c r="M98" s="1090">
        <f t="shared" si="30"/>
        <v>-9</v>
      </c>
      <c r="N98" s="1090">
        <f t="shared" si="30"/>
        <v>-110</v>
      </c>
      <c r="O98" s="1090">
        <f t="shared" si="30"/>
        <v>-710</v>
      </c>
      <c r="P98" s="1090">
        <f t="shared" si="30"/>
        <v>-10</v>
      </c>
      <c r="Q98" s="1090">
        <f t="shared" si="30"/>
        <v>-13</v>
      </c>
      <c r="R98" s="1090">
        <f t="shared" si="30"/>
        <v>-13</v>
      </c>
    </row>
    <row r="99" spans="1:18" x14ac:dyDescent="0.2">
      <c r="A99" s="1091" t="s">
        <v>235</v>
      </c>
      <c r="B99" s="1077" t="s">
        <v>236</v>
      </c>
      <c r="C99" s="1091" t="s">
        <v>237</v>
      </c>
      <c r="E99" s="1133">
        <v>0.4</v>
      </c>
      <c r="F99" s="1141"/>
      <c r="G99" s="1093" t="s">
        <v>238</v>
      </c>
      <c r="H99" s="1142">
        <f t="shared" ref="H99:R99" si="31">H98/H33</f>
        <v>2.7315227955469163</v>
      </c>
      <c r="I99" s="1135">
        <f t="shared" si="31"/>
        <v>0.44977219653684902</v>
      </c>
      <c r="J99" s="1135">
        <f t="shared" si="31"/>
        <v>-4.5121270242054923E-2</v>
      </c>
      <c r="K99" s="1135">
        <f t="shared" si="31"/>
        <v>-0.1291891822510878</v>
      </c>
      <c r="L99" s="1135">
        <f t="shared" si="31"/>
        <v>-7.8045126481693303E-2</v>
      </c>
      <c r="M99" s="1135">
        <f t="shared" si="31"/>
        <v>-0.12162162162162163</v>
      </c>
      <c r="N99" s="1135">
        <f t="shared" si="31"/>
        <v>-0.625</v>
      </c>
      <c r="O99" s="1135">
        <f t="shared" si="31"/>
        <v>-1.0441176470588236</v>
      </c>
      <c r="P99" s="1135">
        <f t="shared" si="31"/>
        <v>-0.125</v>
      </c>
      <c r="Q99" s="1135">
        <f t="shared" si="31"/>
        <v>-0.15662650602409639</v>
      </c>
      <c r="R99" s="1135">
        <f t="shared" si="31"/>
        <v>-0.15662650602409639</v>
      </c>
    </row>
    <row r="100" spans="1:18" x14ac:dyDescent="0.2">
      <c r="A100" s="1091" t="s">
        <v>239</v>
      </c>
      <c r="B100" s="1077" t="s">
        <v>240</v>
      </c>
      <c r="C100" s="1091" t="s">
        <v>241</v>
      </c>
      <c r="D100" s="1143">
        <v>0</v>
      </c>
      <c r="E100" s="1143">
        <v>5</v>
      </c>
      <c r="F100" s="1141"/>
      <c r="G100" s="1093" t="s">
        <v>242</v>
      </c>
      <c r="H100" s="1144">
        <f t="shared" ref="H100:R100" si="32">H98/H89</f>
        <v>18.113593086275063</v>
      </c>
      <c r="I100" s="1144">
        <f t="shared" si="32"/>
        <v>4.3115282884975219</v>
      </c>
      <c r="J100" s="1144">
        <f t="shared" si="32"/>
        <v>-1.2481531229012772</v>
      </c>
      <c r="K100" s="1144">
        <f t="shared" si="32"/>
        <v>-1.5114882114431578</v>
      </c>
      <c r="L100" s="1144">
        <f t="shared" si="32"/>
        <v>3.8168316831683033</v>
      </c>
      <c r="M100" s="1144">
        <f t="shared" si="32"/>
        <v>9</v>
      </c>
      <c r="N100" s="1144">
        <f t="shared" si="32"/>
        <v>-1.0891089108910892</v>
      </c>
      <c r="O100" s="1144">
        <f t="shared" si="32"/>
        <v>-1.1833333333333333</v>
      </c>
      <c r="P100" s="1144">
        <f t="shared" si="32"/>
        <v>1.4285714285714285E-2</v>
      </c>
      <c r="Q100" s="1144">
        <f t="shared" si="32"/>
        <v>-4.333333333333333</v>
      </c>
      <c r="R100" s="1144">
        <f t="shared" si="32"/>
        <v>-4.333333333333333</v>
      </c>
    </row>
    <row r="101" spans="1:18" x14ac:dyDescent="0.2">
      <c r="A101" s="1091" t="s">
        <v>243</v>
      </c>
      <c r="B101" s="1077" t="s">
        <v>244</v>
      </c>
      <c r="C101" s="1091" t="s">
        <v>245</v>
      </c>
      <c r="E101" s="1131"/>
      <c r="F101" s="1141"/>
      <c r="G101" s="1093" t="s">
        <v>246</v>
      </c>
      <c r="H101" s="1132">
        <f t="shared" ref="H101:R101" si="33">-(H75+H77+H78+H79+H80+H81)</f>
        <v>255.64699999999999</v>
      </c>
      <c r="I101" s="1132">
        <f t="shared" si="33"/>
        <v>256.56200000000001</v>
      </c>
      <c r="J101" s="1132">
        <f t="shared" si="33"/>
        <v>74.304000000000002</v>
      </c>
      <c r="K101" s="1132">
        <f t="shared" si="33"/>
        <v>0</v>
      </c>
      <c r="L101" s="1132">
        <f t="shared" si="33"/>
        <v>0</v>
      </c>
      <c r="M101" s="1132">
        <f t="shared" si="33"/>
        <v>0</v>
      </c>
      <c r="N101" s="1132">
        <f t="shared" si="33"/>
        <v>0</v>
      </c>
      <c r="O101" s="1132">
        <f t="shared" si="33"/>
        <v>0</v>
      </c>
      <c r="P101" s="1132">
        <f t="shared" si="33"/>
        <v>0</v>
      </c>
      <c r="Q101" s="1132">
        <f t="shared" si="33"/>
        <v>0</v>
      </c>
      <c r="R101" s="1132">
        <f t="shared" si="33"/>
        <v>0</v>
      </c>
    </row>
    <row r="102" spans="1:18" x14ac:dyDescent="0.2">
      <c r="A102" s="1091" t="s">
        <v>247</v>
      </c>
      <c r="B102" s="1077" t="s">
        <v>248</v>
      </c>
      <c r="C102" s="1091" t="s">
        <v>249</v>
      </c>
      <c r="E102" s="1143">
        <v>1.2</v>
      </c>
      <c r="F102" s="1141"/>
      <c r="G102" s="1093" t="s">
        <v>250</v>
      </c>
      <c r="H102" s="1145">
        <f t="shared" ref="H102:R102" si="34">H89/H101</f>
        <v>5.3409584309614483E-2</v>
      </c>
      <c r="I102" s="1144">
        <f t="shared" si="34"/>
        <v>6.0418144542059925E-2</v>
      </c>
      <c r="J102" s="1144">
        <f t="shared" si="34"/>
        <v>4.0078596037898331E-2</v>
      </c>
      <c r="K102" s="1144" t="e">
        <f t="shared" si="34"/>
        <v>#DIV/0!</v>
      </c>
      <c r="L102" s="1144" t="e">
        <f t="shared" si="34"/>
        <v>#DIV/0!</v>
      </c>
      <c r="M102" s="1144" t="e">
        <f t="shared" si="34"/>
        <v>#DIV/0!</v>
      </c>
      <c r="N102" s="1144" t="e">
        <f t="shared" si="34"/>
        <v>#DIV/0!</v>
      </c>
      <c r="O102" s="1144" t="e">
        <f t="shared" si="34"/>
        <v>#DIV/0!</v>
      </c>
      <c r="P102" s="1144" t="e">
        <f t="shared" si="34"/>
        <v>#DIV/0!</v>
      </c>
      <c r="Q102" s="1144" t="e">
        <f t="shared" si="34"/>
        <v>#DIV/0!</v>
      </c>
      <c r="R102" s="1144" t="e">
        <f t="shared" si="34"/>
        <v>#DIV/0!</v>
      </c>
    </row>
    <row r="103" spans="1:18" x14ac:dyDescent="0.2">
      <c r="A103" s="1146" t="s">
        <v>251</v>
      </c>
      <c r="B103" s="1077" t="s">
        <v>252</v>
      </c>
      <c r="C103" s="1091" t="s">
        <v>253</v>
      </c>
      <c r="E103" s="1143">
        <v>0</v>
      </c>
      <c r="F103" s="1141"/>
      <c r="G103" s="1089" t="s">
        <v>254</v>
      </c>
      <c r="H103" s="1147">
        <f t="shared" ref="H103:R103" si="35">H5-H20</f>
        <v>3.2259999999999991</v>
      </c>
      <c r="I103" s="1147">
        <f t="shared" si="35"/>
        <v>8.4780000000000086</v>
      </c>
      <c r="J103" s="1147">
        <f t="shared" si="35"/>
        <v>7.1199999999999992</v>
      </c>
      <c r="K103" s="1147">
        <f t="shared" si="35"/>
        <v>16.814</v>
      </c>
      <c r="L103" s="1147">
        <f t="shared" si="35"/>
        <v>14.794</v>
      </c>
      <c r="M103" s="1147">
        <f t="shared" si="35"/>
        <v>19</v>
      </c>
      <c r="N103" s="1147">
        <f t="shared" si="35"/>
        <v>121</v>
      </c>
      <c r="O103" s="1147">
        <f t="shared" si="35"/>
        <v>721</v>
      </c>
      <c r="P103" s="1147">
        <f t="shared" si="35"/>
        <v>21</v>
      </c>
      <c r="Q103" s="1147">
        <f t="shared" si="35"/>
        <v>25</v>
      </c>
      <c r="R103" s="1147">
        <f t="shared" si="35"/>
        <v>25</v>
      </c>
    </row>
    <row r="104" spans="1:18" x14ac:dyDescent="0.2">
      <c r="A104" s="1091" t="s">
        <v>255</v>
      </c>
      <c r="B104" s="1077" t="s">
        <v>256</v>
      </c>
      <c r="C104" s="1091" t="s">
        <v>257</v>
      </c>
      <c r="E104" s="1143">
        <v>1</v>
      </c>
      <c r="F104" s="1141"/>
      <c r="G104" s="1093" t="s">
        <v>258</v>
      </c>
      <c r="H104" s="1148">
        <f t="shared" ref="H104:R104" si="36">H5/H20</f>
        <v>1.0123091246251172</v>
      </c>
      <c r="I104" s="1148">
        <f t="shared" si="36"/>
        <v>1.0954525495670973</v>
      </c>
      <c r="J104" s="1148">
        <f t="shared" si="36"/>
        <v>1.5970149253731343</v>
      </c>
      <c r="K104" s="1148">
        <f t="shared" si="36"/>
        <v>1.9755729619959386</v>
      </c>
      <c r="L104" s="1148">
        <f t="shared" si="36"/>
        <v>3.0664897332029613</v>
      </c>
      <c r="M104" s="1148" t="e">
        <f t="shared" si="36"/>
        <v>#DIV/0!</v>
      </c>
      <c r="N104" s="1148" t="e">
        <f t="shared" si="36"/>
        <v>#DIV/0!</v>
      </c>
      <c r="O104" s="1148" t="e">
        <f t="shared" si="36"/>
        <v>#DIV/0!</v>
      </c>
      <c r="P104" s="1148" t="e">
        <f t="shared" si="36"/>
        <v>#DIV/0!</v>
      </c>
      <c r="Q104" s="1148" t="e">
        <f t="shared" si="36"/>
        <v>#DIV/0!</v>
      </c>
      <c r="R104" s="1148" t="e">
        <f t="shared" si="36"/>
        <v>#DIV/0!</v>
      </c>
    </row>
    <row r="105" spans="1:18" x14ac:dyDescent="0.2">
      <c r="A105" s="1091" t="s">
        <v>259</v>
      </c>
      <c r="B105" s="1077" t="s">
        <v>260</v>
      </c>
      <c r="C105" s="1091" t="s">
        <v>261</v>
      </c>
      <c r="E105" s="1143">
        <v>1</v>
      </c>
      <c r="F105" s="1141"/>
      <c r="G105" s="1130" t="s">
        <v>262</v>
      </c>
      <c r="H105" s="1148">
        <f t="shared" ref="H105:R105" si="37">-H6/((H38+H41-H45+H47)/12)</f>
        <v>1.7177440473303915</v>
      </c>
      <c r="I105" s="1148">
        <f t="shared" si="37"/>
        <v>1.840589921934408</v>
      </c>
      <c r="J105" s="1148">
        <f t="shared" si="37"/>
        <v>2.3259813639968279</v>
      </c>
      <c r="K105" s="1148">
        <f t="shared" si="37"/>
        <v>4.5980238041769592</v>
      </c>
      <c r="L105" s="1148">
        <f t="shared" si="37"/>
        <v>1.769961015385531</v>
      </c>
      <c r="M105" s="1148">
        <f t="shared" si="37"/>
        <v>2.4</v>
      </c>
      <c r="N105" s="1148">
        <f t="shared" si="37"/>
        <v>18.559999999999999</v>
      </c>
      <c r="O105" s="1148">
        <f t="shared" si="37"/>
        <v>107.39999999999999</v>
      </c>
      <c r="P105" s="1148">
        <f t="shared" si="37"/>
        <v>0.24615384615384617</v>
      </c>
      <c r="Q105" s="1148">
        <f t="shared" si="37"/>
        <v>2.85</v>
      </c>
      <c r="R105" s="1148">
        <f t="shared" si="37"/>
        <v>2.85</v>
      </c>
    </row>
    <row r="106" spans="1:18" x14ac:dyDescent="0.2">
      <c r="C106" s="1091"/>
      <c r="F106" s="1141"/>
      <c r="G106" s="1140" t="s">
        <v>263</v>
      </c>
      <c r="H106" s="1116">
        <f t="shared" ref="H106:R106" si="38">H95</f>
        <v>2011</v>
      </c>
      <c r="I106" s="1116">
        <f t="shared" si="38"/>
        <v>2012</v>
      </c>
      <c r="J106" s="1116">
        <f t="shared" si="38"/>
        <v>2013</v>
      </c>
      <c r="K106" s="1116">
        <f t="shared" si="38"/>
        <v>2014</v>
      </c>
      <c r="L106" s="1116">
        <f t="shared" si="38"/>
        <v>2015</v>
      </c>
      <c r="M106" s="1116">
        <f t="shared" si="38"/>
        <v>2016</v>
      </c>
      <c r="N106" s="1116">
        <f t="shared" si="38"/>
        <v>2017</v>
      </c>
      <c r="O106" s="1116">
        <f t="shared" si="38"/>
        <v>2018</v>
      </c>
      <c r="P106" s="1116">
        <f t="shared" si="38"/>
        <v>2019</v>
      </c>
      <c r="Q106" s="1116">
        <f t="shared" si="38"/>
        <v>2020</v>
      </c>
      <c r="R106" s="1116">
        <f t="shared" si="38"/>
        <v>2021</v>
      </c>
    </row>
    <row r="107" spans="1:18" x14ac:dyDescent="0.2">
      <c r="A107" s="1091" t="s">
        <v>264</v>
      </c>
      <c r="B107" s="1077" t="s">
        <v>265</v>
      </c>
      <c r="C107" s="1091" t="s">
        <v>266</v>
      </c>
      <c r="E107" s="1133">
        <v>0.60000000000000009</v>
      </c>
      <c r="F107" s="1141"/>
      <c r="G107" s="1089" t="s">
        <v>267</v>
      </c>
      <c r="H107" s="1149">
        <f t="shared" ref="H107:R107" si="39">H17/H4</f>
        <v>0</v>
      </c>
      <c r="I107" s="1149">
        <f t="shared" si="39"/>
        <v>0</v>
      </c>
      <c r="J107" s="1149">
        <f t="shared" si="39"/>
        <v>0</v>
      </c>
      <c r="K107" s="1149">
        <f t="shared" si="39"/>
        <v>0</v>
      </c>
      <c r="L107" s="1149">
        <f t="shared" si="39"/>
        <v>0</v>
      </c>
      <c r="M107" s="1149">
        <f t="shared" si="39"/>
        <v>0</v>
      </c>
      <c r="N107" s="1149">
        <f t="shared" si="39"/>
        <v>0</v>
      </c>
      <c r="O107" s="1149">
        <f t="shared" si="39"/>
        <v>0</v>
      </c>
      <c r="P107" s="1149">
        <f t="shared" si="39"/>
        <v>0</v>
      </c>
      <c r="Q107" s="1149">
        <f t="shared" si="39"/>
        <v>0</v>
      </c>
      <c r="R107" s="1149">
        <f t="shared" si="39"/>
        <v>0</v>
      </c>
    </row>
    <row r="108" spans="1:18" x14ac:dyDescent="0.2">
      <c r="A108" s="1091" t="s">
        <v>268</v>
      </c>
      <c r="B108" s="1077" t="s">
        <v>269</v>
      </c>
      <c r="C108" s="1091" t="s">
        <v>270</v>
      </c>
      <c r="E108" s="1133">
        <v>0.4</v>
      </c>
      <c r="F108" s="1141"/>
      <c r="G108" s="1130" t="s">
        <v>271</v>
      </c>
      <c r="H108" s="1149" t="e">
        <f t="shared" ref="H108:R108" si="40">H27/H17</f>
        <v>#DIV/0!</v>
      </c>
      <c r="I108" s="1149" t="e">
        <f t="shared" si="40"/>
        <v>#DIV/0!</v>
      </c>
      <c r="J108" s="1149" t="e">
        <f t="shared" si="40"/>
        <v>#DIV/0!</v>
      </c>
      <c r="K108" s="1149" t="e">
        <f t="shared" si="40"/>
        <v>#DIV/0!</v>
      </c>
      <c r="L108" s="1149" t="e">
        <f t="shared" si="40"/>
        <v>#DIV/0!</v>
      </c>
      <c r="M108" s="1149" t="e">
        <f t="shared" si="40"/>
        <v>#DIV/0!</v>
      </c>
      <c r="N108" s="1149" t="e">
        <f t="shared" si="40"/>
        <v>#DIV/0!</v>
      </c>
      <c r="O108" s="1149" t="e">
        <f t="shared" si="40"/>
        <v>#DIV/0!</v>
      </c>
      <c r="P108" s="1149" t="e">
        <f t="shared" si="40"/>
        <v>#DIV/0!</v>
      </c>
      <c r="Q108" s="1149" t="e">
        <f t="shared" si="40"/>
        <v>#DIV/0!</v>
      </c>
      <c r="R108" s="1149" t="e">
        <f t="shared" si="40"/>
        <v>#DIV/0!</v>
      </c>
    </row>
    <row r="109" spans="1:18" x14ac:dyDescent="0.2">
      <c r="C109" s="1091"/>
      <c r="F109" s="1141"/>
      <c r="G109" s="1150" t="s">
        <v>272</v>
      </c>
      <c r="H109" s="1116">
        <f t="shared" ref="H109:R109" si="41">H95</f>
        <v>2011</v>
      </c>
      <c r="I109" s="1116">
        <f t="shared" si="41"/>
        <v>2012</v>
      </c>
      <c r="J109" s="1116">
        <f t="shared" si="41"/>
        <v>2013</v>
      </c>
      <c r="K109" s="1116">
        <f t="shared" si="41"/>
        <v>2014</v>
      </c>
      <c r="L109" s="1116">
        <f t="shared" si="41"/>
        <v>2015</v>
      </c>
      <c r="M109" s="1116">
        <f t="shared" si="41"/>
        <v>2016</v>
      </c>
      <c r="N109" s="1116">
        <f t="shared" si="41"/>
        <v>2017</v>
      </c>
      <c r="O109" s="1116">
        <f t="shared" si="41"/>
        <v>2018</v>
      </c>
      <c r="P109" s="1116">
        <f t="shared" si="41"/>
        <v>2019</v>
      </c>
      <c r="Q109" s="1116">
        <f t="shared" si="41"/>
        <v>2020</v>
      </c>
      <c r="R109" s="1116">
        <f t="shared" si="41"/>
        <v>2021</v>
      </c>
    </row>
    <row r="110" spans="1:18" x14ac:dyDescent="0.2">
      <c r="A110" s="1091" t="s">
        <v>273</v>
      </c>
      <c r="B110" s="1077" t="s">
        <v>274</v>
      </c>
      <c r="C110" s="1151" t="s">
        <v>275</v>
      </c>
      <c r="E110" s="1131"/>
      <c r="F110" s="1141"/>
      <c r="G110" s="1093" t="s">
        <v>276</v>
      </c>
      <c r="H110" s="1152">
        <f t="shared" ref="H110:R110" si="42">H10/H4</f>
        <v>3.227712588042618E-2</v>
      </c>
      <c r="I110" s="1152">
        <f t="shared" si="42"/>
        <v>7.5334524443092812E-2</v>
      </c>
      <c r="J110" s="1152">
        <f t="shared" si="42"/>
        <v>0.34516073577445416</v>
      </c>
      <c r="K110" s="1152">
        <f t="shared" si="42"/>
        <v>0.15157480314960631</v>
      </c>
      <c r="L110" s="1152">
        <f t="shared" si="42"/>
        <v>0.19031460922804561</v>
      </c>
      <c r="M110" s="1152">
        <f t="shared" si="42"/>
        <v>0.20833333333333334</v>
      </c>
      <c r="N110" s="1152">
        <f t="shared" si="42"/>
        <v>3.968253968253968E-2</v>
      </c>
      <c r="O110" s="1152">
        <f t="shared" si="42"/>
        <v>6.8870523415977963E-3</v>
      </c>
      <c r="P110" s="1152">
        <f t="shared" si="42"/>
        <v>0.16</v>
      </c>
      <c r="Q110" s="1152">
        <f t="shared" si="42"/>
        <v>0.13793103448275862</v>
      </c>
      <c r="R110" s="1152">
        <f t="shared" si="42"/>
        <v>0.10714285714285714</v>
      </c>
    </row>
    <row r="111" spans="1:18" x14ac:dyDescent="0.2">
      <c r="A111" s="1091" t="s">
        <v>277</v>
      </c>
      <c r="B111" s="1077" t="s">
        <v>278</v>
      </c>
      <c r="C111" s="1151" t="s">
        <v>279</v>
      </c>
      <c r="E111" s="1131"/>
      <c r="F111" s="1141"/>
      <c r="G111" s="1093" t="s">
        <v>280</v>
      </c>
      <c r="H111" s="1152">
        <f t="shared" ref="H111:R111" si="43">-(H58)/H15</f>
        <v>0</v>
      </c>
      <c r="I111" s="1152">
        <f t="shared" si="43"/>
        <v>0</v>
      </c>
      <c r="J111" s="1152">
        <f t="shared" si="43"/>
        <v>0</v>
      </c>
      <c r="K111" s="1152">
        <f t="shared" si="43"/>
        <v>0</v>
      </c>
      <c r="L111" s="1152">
        <f t="shared" si="43"/>
        <v>0</v>
      </c>
      <c r="M111" s="1152" t="e">
        <f t="shared" si="43"/>
        <v>#DIV/0!</v>
      </c>
      <c r="N111" s="1152" t="e">
        <f t="shared" si="43"/>
        <v>#DIV/0!</v>
      </c>
      <c r="O111" s="1152" t="e">
        <f t="shared" si="43"/>
        <v>#DIV/0!</v>
      </c>
      <c r="P111" s="1152" t="e">
        <f t="shared" si="43"/>
        <v>#DIV/0!</v>
      </c>
      <c r="Q111" s="1152" t="e">
        <f t="shared" si="43"/>
        <v>#DIV/0!</v>
      </c>
      <c r="R111" s="1152" t="e">
        <f t="shared" si="43"/>
        <v>#DIV/0!</v>
      </c>
    </row>
    <row r="112" spans="1:18" x14ac:dyDescent="0.2">
      <c r="A112" s="1091" t="s">
        <v>281</v>
      </c>
      <c r="B112" s="1077" t="s">
        <v>282</v>
      </c>
      <c r="C112" s="1091" t="s">
        <v>283</v>
      </c>
      <c r="E112" s="1131"/>
      <c r="F112" s="1141"/>
      <c r="G112" s="1089" t="s">
        <v>284</v>
      </c>
      <c r="H112" s="1136">
        <f t="shared" ref="H112:R112" si="44">H33/H4</f>
        <v>0.33026331627498112</v>
      </c>
      <c r="I112" s="1136">
        <f t="shared" si="44"/>
        <v>1.4121588230821862</v>
      </c>
      <c r="J112" s="1136">
        <f t="shared" si="44"/>
        <v>2.8323190648100396</v>
      </c>
      <c r="K112" s="1136">
        <f t="shared" si="44"/>
        <v>1.941318648460082</v>
      </c>
      <c r="L112" s="1136">
        <f t="shared" si="44"/>
        <v>3.6436026998118987</v>
      </c>
      <c r="M112" s="1136">
        <f t="shared" si="44"/>
        <v>3.0833333333333335</v>
      </c>
      <c r="N112" s="1136">
        <f t="shared" si="44"/>
        <v>1.3968253968253967</v>
      </c>
      <c r="O112" s="1136">
        <f t="shared" si="44"/>
        <v>0.9366391184573003</v>
      </c>
      <c r="P112" s="1136">
        <f t="shared" si="44"/>
        <v>3.2</v>
      </c>
      <c r="Q112" s="1136">
        <f t="shared" si="44"/>
        <v>2.8620689655172415</v>
      </c>
      <c r="R112" s="1136">
        <f t="shared" si="44"/>
        <v>2.9642857142857144</v>
      </c>
    </row>
    <row r="113" spans="1:19" x14ac:dyDescent="0.2">
      <c r="A113" s="1091" t="s">
        <v>285</v>
      </c>
      <c r="B113" s="1077" t="s">
        <v>286</v>
      </c>
      <c r="C113" s="1151" t="s">
        <v>287</v>
      </c>
      <c r="E113" s="1131"/>
      <c r="F113" s="1141"/>
      <c r="G113" s="1130" t="s">
        <v>288</v>
      </c>
      <c r="H113" s="1136">
        <f t="shared" ref="H113:R113" si="45">H33/H15</f>
        <v>10.388251491509868</v>
      </c>
      <c r="I113" s="1136">
        <f t="shared" si="45"/>
        <v>19.065050038491147</v>
      </c>
      <c r="J113" s="1136">
        <f t="shared" si="45"/>
        <v>11.987485448195576</v>
      </c>
      <c r="K113" s="1136">
        <f t="shared" si="45"/>
        <v>13.093949579831934</v>
      </c>
      <c r="L113" s="1136">
        <f t="shared" si="45"/>
        <v>19.651680923015714</v>
      </c>
      <c r="M113" s="1136" t="e">
        <f t="shared" si="45"/>
        <v>#DIV/0!</v>
      </c>
      <c r="N113" s="1136" t="e">
        <f t="shared" si="45"/>
        <v>#DIV/0!</v>
      </c>
      <c r="O113" s="1136" t="e">
        <f t="shared" si="45"/>
        <v>#DIV/0!</v>
      </c>
      <c r="P113" s="1136" t="e">
        <f t="shared" si="45"/>
        <v>#DIV/0!</v>
      </c>
      <c r="Q113" s="1136" t="e">
        <f t="shared" si="45"/>
        <v>#DIV/0!</v>
      </c>
      <c r="R113" s="1136" t="e">
        <f t="shared" si="45"/>
        <v>#DIV/0!</v>
      </c>
    </row>
    <row r="114" spans="1:19" x14ac:dyDescent="0.2">
      <c r="A114" s="1091" t="s">
        <v>289</v>
      </c>
      <c r="B114" s="1077" t="s">
        <v>290</v>
      </c>
      <c r="C114" s="1151" t="s">
        <v>291</v>
      </c>
      <c r="D114" s="1133">
        <v>0.5</v>
      </c>
      <c r="E114" s="1133">
        <f>1/3</f>
        <v>0.33333333333333331</v>
      </c>
      <c r="F114" s="1141"/>
      <c r="G114" s="1093" t="s">
        <v>292</v>
      </c>
      <c r="H114" s="1153">
        <f t="shared" ref="H114:R114" si="46">H27/H4</f>
        <v>4.4040458569359897E-2</v>
      </c>
      <c r="I114" s="1153">
        <f t="shared" si="46"/>
        <v>0.15590549684482627</v>
      </c>
      <c r="J114" s="1153">
        <f t="shared" si="46"/>
        <v>0.58992607873474301</v>
      </c>
      <c r="K114" s="1153">
        <f t="shared" si="46"/>
        <v>0.5705422107046747</v>
      </c>
      <c r="L114" s="1153">
        <f t="shared" si="46"/>
        <v>0.73592003835798325</v>
      </c>
      <c r="M114" s="1153">
        <f t="shared" si="46"/>
        <v>0.75</v>
      </c>
      <c r="N114" s="1153">
        <f t="shared" si="46"/>
        <v>0.95238095238095233</v>
      </c>
      <c r="O114" s="1153">
        <f t="shared" si="46"/>
        <v>0.99173553719008267</v>
      </c>
      <c r="P114" s="1153">
        <f t="shared" si="46"/>
        <v>0.76</v>
      </c>
      <c r="Q114" s="1153">
        <f t="shared" si="46"/>
        <v>0.7931034482758621</v>
      </c>
      <c r="R114" s="1153">
        <f t="shared" si="46"/>
        <v>0.7857142857142857</v>
      </c>
    </row>
    <row r="115" spans="1:19" x14ac:dyDescent="0.2">
      <c r="A115" s="1154"/>
      <c r="C115" s="1154"/>
      <c r="D115" s="1155"/>
      <c r="E115" s="1156"/>
      <c r="F115" s="1141"/>
      <c r="G115" s="1086" t="s">
        <v>293</v>
      </c>
      <c r="H115" s="1116">
        <f t="shared" ref="H115:R115" si="47">H109</f>
        <v>2011</v>
      </c>
      <c r="I115" s="1116">
        <f t="shared" si="47"/>
        <v>2012</v>
      </c>
      <c r="J115" s="1116">
        <f t="shared" si="47"/>
        <v>2013</v>
      </c>
      <c r="K115" s="1116">
        <f t="shared" si="47"/>
        <v>2014</v>
      </c>
      <c r="L115" s="1116">
        <f t="shared" si="47"/>
        <v>2015</v>
      </c>
      <c r="M115" s="1116">
        <f t="shared" si="47"/>
        <v>2016</v>
      </c>
      <c r="N115" s="1116">
        <f t="shared" si="47"/>
        <v>2017</v>
      </c>
      <c r="O115" s="1116">
        <f t="shared" si="47"/>
        <v>2018</v>
      </c>
      <c r="P115" s="1116">
        <f t="shared" si="47"/>
        <v>2019</v>
      </c>
      <c r="Q115" s="1116">
        <f t="shared" si="47"/>
        <v>2020</v>
      </c>
      <c r="R115" s="1116">
        <f t="shared" si="47"/>
        <v>2021</v>
      </c>
    </row>
    <row r="116" spans="1:19" x14ac:dyDescent="0.2">
      <c r="A116" s="1091" t="s">
        <v>294</v>
      </c>
      <c r="B116" s="1077" t="s">
        <v>295</v>
      </c>
      <c r="C116" s="1091" t="s">
        <v>296</v>
      </c>
      <c r="D116" s="1157"/>
      <c r="E116" s="1133">
        <v>0.05</v>
      </c>
      <c r="G116" s="1089" t="s">
        <v>297</v>
      </c>
      <c r="H116" s="1158">
        <f t="shared" ref="H116:R116" si="48">H35/H33</f>
        <v>0.31605628202862701</v>
      </c>
      <c r="I116" s="1135">
        <f t="shared" si="48"/>
        <v>0.18535866427086067</v>
      </c>
      <c r="J116" s="1135">
        <f t="shared" si="48"/>
        <v>0.35627230571269031</v>
      </c>
      <c r="K116" s="1135">
        <f t="shared" si="48"/>
        <v>0.38035400274679432</v>
      </c>
      <c r="L116" s="1135">
        <f t="shared" si="48"/>
        <v>0.28717772221603621</v>
      </c>
      <c r="M116" s="1135">
        <f t="shared" si="48"/>
        <v>0.35135135135135137</v>
      </c>
      <c r="N116" s="1135">
        <f t="shared" si="48"/>
        <v>0.15909090909090909</v>
      </c>
      <c r="O116" s="1135">
        <f t="shared" si="48"/>
        <v>4.4117647058823532E-2</v>
      </c>
      <c r="P116" s="1135">
        <f t="shared" si="48"/>
        <v>0.375</v>
      </c>
      <c r="Q116" s="1135">
        <f t="shared" si="48"/>
        <v>0.37349397590361444</v>
      </c>
      <c r="R116" s="1135">
        <f t="shared" si="48"/>
        <v>0.37349397590361444</v>
      </c>
    </row>
    <row r="117" spans="1:19" x14ac:dyDescent="0.2">
      <c r="A117" s="1091" t="s">
        <v>298</v>
      </c>
      <c r="B117" s="1077" t="s">
        <v>299</v>
      </c>
      <c r="C117" s="1091" t="s">
        <v>300</v>
      </c>
      <c r="E117" s="1133">
        <v>0.95</v>
      </c>
      <c r="G117" s="1093" t="s">
        <v>301</v>
      </c>
      <c r="H117" s="1153">
        <f t="shared" ref="H117:R117" si="49">(H36+H34)/H33</f>
        <v>0.67934926665488604</v>
      </c>
      <c r="I117" s="1153">
        <f t="shared" si="49"/>
        <v>0.81464133572913933</v>
      </c>
      <c r="J117" s="1153">
        <f t="shared" si="49"/>
        <v>0.6437276942873098</v>
      </c>
      <c r="K117" s="1153">
        <f t="shared" si="49"/>
        <v>0.61964599725320568</v>
      </c>
      <c r="L117" s="1153">
        <f t="shared" si="49"/>
        <v>0.71282227778396379</v>
      </c>
      <c r="M117" s="1153">
        <f t="shared" si="49"/>
        <v>0.47297297297297297</v>
      </c>
      <c r="N117" s="1153">
        <f t="shared" si="49"/>
        <v>0.19886363636363635</v>
      </c>
      <c r="O117" s="1153">
        <f t="shared" si="49"/>
        <v>0.78676470588235292</v>
      </c>
      <c r="P117" s="1153">
        <f t="shared" si="49"/>
        <v>0.4375</v>
      </c>
      <c r="Q117" s="1153">
        <f t="shared" si="49"/>
        <v>0.43373493975903615</v>
      </c>
      <c r="R117" s="1153">
        <f t="shared" si="49"/>
        <v>0.43373493975903615</v>
      </c>
    </row>
    <row r="118" spans="1:19" x14ac:dyDescent="0.2">
      <c r="A118" s="1091" t="s">
        <v>302</v>
      </c>
      <c r="B118" s="1077" t="s">
        <v>303</v>
      </c>
      <c r="C118" s="1091" t="s">
        <v>304</v>
      </c>
      <c r="E118" s="1133">
        <v>0.95</v>
      </c>
      <c r="G118" s="1130" t="s">
        <v>305</v>
      </c>
      <c r="H118" s="1135">
        <f t="shared" ref="H118:R118" si="50">H38/(H38+H41)</f>
        <v>0</v>
      </c>
      <c r="I118" s="1135">
        <f t="shared" si="50"/>
        <v>0</v>
      </c>
      <c r="J118" s="1135">
        <f t="shared" si="50"/>
        <v>0</v>
      </c>
      <c r="K118" s="1135">
        <f t="shared" si="50"/>
        <v>0</v>
      </c>
      <c r="L118" s="1135">
        <f t="shared" si="50"/>
        <v>0</v>
      </c>
      <c r="M118" s="1135">
        <f t="shared" si="50"/>
        <v>0</v>
      </c>
      <c r="N118" s="1135">
        <f t="shared" si="50"/>
        <v>0</v>
      </c>
      <c r="O118" s="1135">
        <f t="shared" si="50"/>
        <v>0</v>
      </c>
      <c r="P118" s="1135">
        <f t="shared" si="50"/>
        <v>0.89628681177976954</v>
      </c>
      <c r="Q118" s="1135">
        <f t="shared" si="50"/>
        <v>0</v>
      </c>
      <c r="R118" s="1135">
        <f t="shared" si="50"/>
        <v>0</v>
      </c>
    </row>
    <row r="119" spans="1:19" x14ac:dyDescent="0.2">
      <c r="A119" s="1154"/>
      <c r="C119" s="1155"/>
      <c r="D119" s="1155"/>
      <c r="E119" s="1156"/>
      <c r="F119" s="1141"/>
      <c r="G119" s="1086" t="s">
        <v>306</v>
      </c>
      <c r="H119" s="1116">
        <f>H115</f>
        <v>2011</v>
      </c>
      <c r="I119" s="1116">
        <f t="shared" ref="I119:R119" si="51">I115</f>
        <v>2012</v>
      </c>
      <c r="J119" s="1116">
        <f t="shared" si="51"/>
        <v>2013</v>
      </c>
      <c r="K119" s="1116">
        <f t="shared" si="51"/>
        <v>2014</v>
      </c>
      <c r="L119" s="1116">
        <f t="shared" si="51"/>
        <v>2015</v>
      </c>
      <c r="M119" s="1116">
        <f t="shared" si="51"/>
        <v>2016</v>
      </c>
      <c r="N119" s="1116">
        <f t="shared" si="51"/>
        <v>2017</v>
      </c>
      <c r="O119" s="1116">
        <f t="shared" si="51"/>
        <v>2018</v>
      </c>
      <c r="P119" s="1116">
        <f t="shared" si="51"/>
        <v>2019</v>
      </c>
      <c r="Q119" s="1116">
        <f t="shared" si="51"/>
        <v>2020</v>
      </c>
      <c r="R119" s="1116">
        <f t="shared" si="51"/>
        <v>2021</v>
      </c>
    </row>
    <row r="120" spans="1:19" x14ac:dyDescent="0.2">
      <c r="A120" s="1079" t="s">
        <v>307</v>
      </c>
      <c r="B120" s="1077" t="s">
        <v>308</v>
      </c>
      <c r="C120" s="1091" t="s">
        <v>309</v>
      </c>
      <c r="D120" s="1159">
        <v>0.5</v>
      </c>
      <c r="E120" s="1160" t="s">
        <v>310</v>
      </c>
      <c r="F120" s="1079"/>
      <c r="G120" s="1089" t="s">
        <v>311</v>
      </c>
      <c r="H120" s="1136" t="str">
        <f t="shared" ref="H120:R120" si="52">IF(H116&lt;$D$120,$E$120,H35/H4)</f>
        <v>N/A</v>
      </c>
      <c r="I120" s="1136" t="str">
        <f t="shared" si="52"/>
        <v>N/A</v>
      </c>
      <c r="J120" s="1136" t="str">
        <f t="shared" si="52"/>
        <v>N/A</v>
      </c>
      <c r="K120" s="1136" t="str">
        <f t="shared" si="52"/>
        <v>N/A</v>
      </c>
      <c r="L120" s="1136" t="str">
        <f t="shared" si="52"/>
        <v>N/A</v>
      </c>
      <c r="M120" s="1136" t="str">
        <f t="shared" si="52"/>
        <v>N/A</v>
      </c>
      <c r="N120" s="1136" t="str">
        <f t="shared" si="52"/>
        <v>N/A</v>
      </c>
      <c r="O120" s="1136" t="str">
        <f t="shared" si="52"/>
        <v>N/A</v>
      </c>
      <c r="P120" s="1136" t="str">
        <f t="shared" si="52"/>
        <v>N/A</v>
      </c>
      <c r="Q120" s="1136" t="str">
        <f t="shared" si="52"/>
        <v>N/A</v>
      </c>
      <c r="R120" s="1136" t="str">
        <f t="shared" si="52"/>
        <v>N/A</v>
      </c>
    </row>
    <row r="121" spans="1:19" x14ac:dyDescent="0.2">
      <c r="A121" s="1079" t="s">
        <v>312</v>
      </c>
      <c r="B121" s="1077" t="s">
        <v>313</v>
      </c>
      <c r="C121" s="1091" t="s">
        <v>314</v>
      </c>
      <c r="D121" s="1159">
        <v>0.5</v>
      </c>
      <c r="E121" s="1160" t="s">
        <v>310</v>
      </c>
      <c r="F121" s="1079"/>
      <c r="G121" s="1093" t="s">
        <v>315</v>
      </c>
      <c r="H121" s="1136" t="str">
        <f t="shared" ref="H121:R121" si="53">IF(H116&lt;$D$121,$E$121,H35/H15)</f>
        <v>N/A</v>
      </c>
      <c r="I121" s="1136" t="str">
        <f t="shared" si="53"/>
        <v>N/A</v>
      </c>
      <c r="J121" s="1136" t="str">
        <f t="shared" si="53"/>
        <v>N/A</v>
      </c>
      <c r="K121" s="1136" t="str">
        <f t="shared" si="53"/>
        <v>N/A</v>
      </c>
      <c r="L121" s="1136" t="str">
        <f t="shared" si="53"/>
        <v>N/A</v>
      </c>
      <c r="M121" s="1136" t="str">
        <f t="shared" si="53"/>
        <v>N/A</v>
      </c>
      <c r="N121" s="1136" t="str">
        <f t="shared" si="53"/>
        <v>N/A</v>
      </c>
      <c r="O121" s="1136" t="str">
        <f t="shared" si="53"/>
        <v>N/A</v>
      </c>
      <c r="P121" s="1136" t="str">
        <f t="shared" si="53"/>
        <v>N/A</v>
      </c>
      <c r="Q121" s="1136" t="str">
        <f t="shared" si="53"/>
        <v>N/A</v>
      </c>
      <c r="R121" s="1136" t="str">
        <f t="shared" si="53"/>
        <v>N/A</v>
      </c>
    </row>
    <row r="122" spans="1:19" x14ac:dyDescent="0.2">
      <c r="A122" s="1079" t="s">
        <v>316</v>
      </c>
      <c r="B122" s="1077" t="s">
        <v>317</v>
      </c>
      <c r="C122" s="1091" t="s">
        <v>217</v>
      </c>
      <c r="D122" s="1159">
        <v>0.5</v>
      </c>
      <c r="E122" s="1160" t="s">
        <v>310</v>
      </c>
      <c r="F122" s="1079"/>
      <c r="G122" s="1089" t="s">
        <v>318</v>
      </c>
      <c r="H122" s="1152" t="str">
        <f t="shared" ref="H122:R122" si="54">IF(H116&lt;$D$122,$E$122,H46/H33)</f>
        <v>N/A</v>
      </c>
      <c r="I122" s="1152" t="str">
        <f t="shared" si="54"/>
        <v>N/A</v>
      </c>
      <c r="J122" s="1152" t="str">
        <f t="shared" si="54"/>
        <v>N/A</v>
      </c>
      <c r="K122" s="1152" t="str">
        <f t="shared" si="54"/>
        <v>N/A</v>
      </c>
      <c r="L122" s="1152" t="str">
        <f t="shared" si="54"/>
        <v>N/A</v>
      </c>
      <c r="M122" s="1152" t="str">
        <f t="shared" si="54"/>
        <v>N/A</v>
      </c>
      <c r="N122" s="1152" t="str">
        <f t="shared" si="54"/>
        <v>N/A</v>
      </c>
      <c r="O122" s="1152" t="str">
        <f t="shared" si="54"/>
        <v>N/A</v>
      </c>
      <c r="P122" s="1152" t="str">
        <f t="shared" si="54"/>
        <v>N/A</v>
      </c>
      <c r="Q122" s="1152" t="str">
        <f t="shared" si="54"/>
        <v>N/A</v>
      </c>
      <c r="R122" s="1152" t="str">
        <f t="shared" si="54"/>
        <v>N/A</v>
      </c>
    </row>
    <row r="123" spans="1:19" x14ac:dyDescent="0.2">
      <c r="A123" s="1079" t="s">
        <v>319</v>
      </c>
      <c r="B123" s="1077" t="s">
        <v>320</v>
      </c>
      <c r="C123" s="1091" t="s">
        <v>321</v>
      </c>
      <c r="D123" s="1159">
        <v>0.5</v>
      </c>
      <c r="E123" s="1160" t="s">
        <v>310</v>
      </c>
      <c r="F123" s="1079"/>
      <c r="G123" s="1093" t="s">
        <v>322</v>
      </c>
      <c r="H123" s="1152" t="str">
        <f t="shared" ref="H123:R123" si="55">IF(H116&lt;$D$122,$E$123,H51/H33)</f>
        <v>N/A</v>
      </c>
      <c r="I123" s="1152" t="str">
        <f t="shared" si="55"/>
        <v>N/A</v>
      </c>
      <c r="J123" s="1152" t="str">
        <f t="shared" si="55"/>
        <v>N/A</v>
      </c>
      <c r="K123" s="1152" t="str">
        <f t="shared" si="55"/>
        <v>N/A</v>
      </c>
      <c r="L123" s="1152" t="str">
        <f t="shared" si="55"/>
        <v>N/A</v>
      </c>
      <c r="M123" s="1152" t="str">
        <f t="shared" si="55"/>
        <v>N/A</v>
      </c>
      <c r="N123" s="1152" t="str">
        <f t="shared" si="55"/>
        <v>N/A</v>
      </c>
      <c r="O123" s="1152" t="str">
        <f t="shared" si="55"/>
        <v>N/A</v>
      </c>
      <c r="P123" s="1152" t="str">
        <f t="shared" si="55"/>
        <v>N/A</v>
      </c>
      <c r="Q123" s="1152" t="str">
        <f t="shared" si="55"/>
        <v>N/A</v>
      </c>
      <c r="R123" s="1152" t="str">
        <f t="shared" si="55"/>
        <v>N/A</v>
      </c>
    </row>
    <row r="124" spans="1:19" x14ac:dyDescent="0.2">
      <c r="A124" s="1079" t="s">
        <v>323</v>
      </c>
      <c r="B124" s="1077" t="s">
        <v>324</v>
      </c>
      <c r="C124" s="1091" t="s">
        <v>325</v>
      </c>
      <c r="D124" s="1159">
        <v>0.5</v>
      </c>
      <c r="E124" s="1160" t="s">
        <v>310</v>
      </c>
      <c r="F124" s="1079"/>
      <c r="G124" s="1093" t="s">
        <v>326</v>
      </c>
      <c r="H124" s="1152" t="str">
        <f t="shared" ref="H124:R124" si="56">IF(H116&lt;$D$124,$E$124,H51/H4)</f>
        <v>N/A</v>
      </c>
      <c r="I124" s="1152" t="str">
        <f t="shared" si="56"/>
        <v>N/A</v>
      </c>
      <c r="J124" s="1152" t="str">
        <f t="shared" si="56"/>
        <v>N/A</v>
      </c>
      <c r="K124" s="1152" t="str">
        <f t="shared" si="56"/>
        <v>N/A</v>
      </c>
      <c r="L124" s="1152" t="str">
        <f t="shared" si="56"/>
        <v>N/A</v>
      </c>
      <c r="M124" s="1152" t="str">
        <f t="shared" si="56"/>
        <v>N/A</v>
      </c>
      <c r="N124" s="1152" t="str">
        <f t="shared" si="56"/>
        <v>N/A</v>
      </c>
      <c r="O124" s="1152" t="str">
        <f t="shared" si="56"/>
        <v>N/A</v>
      </c>
      <c r="P124" s="1152" t="str">
        <f t="shared" si="56"/>
        <v>N/A</v>
      </c>
      <c r="Q124" s="1152" t="str">
        <f t="shared" si="56"/>
        <v>N/A</v>
      </c>
      <c r="R124" s="1152" t="str">
        <f t="shared" si="56"/>
        <v>N/A</v>
      </c>
    </row>
    <row r="125" spans="1:19" x14ac:dyDescent="0.2">
      <c r="A125" s="1079" t="s">
        <v>327</v>
      </c>
      <c r="B125" s="1077" t="s">
        <v>328</v>
      </c>
      <c r="C125" s="1091" t="s">
        <v>329</v>
      </c>
      <c r="D125" s="1159">
        <v>0.5</v>
      </c>
      <c r="E125" s="1160" t="s">
        <v>310</v>
      </c>
      <c r="F125" s="1079"/>
      <c r="G125" s="1130" t="s">
        <v>330</v>
      </c>
      <c r="H125" s="1152" t="str">
        <f t="shared" ref="H125:R125" si="57">IF(H116&lt;$D$125,$E$125,H51/H27)</f>
        <v>N/A</v>
      </c>
      <c r="I125" s="1152" t="str">
        <f t="shared" si="57"/>
        <v>N/A</v>
      </c>
      <c r="J125" s="1152" t="str">
        <f t="shared" si="57"/>
        <v>N/A</v>
      </c>
      <c r="K125" s="1152" t="str">
        <f t="shared" si="57"/>
        <v>N/A</v>
      </c>
      <c r="L125" s="1152" t="str">
        <f t="shared" si="57"/>
        <v>N/A</v>
      </c>
      <c r="M125" s="1152" t="str">
        <f t="shared" si="57"/>
        <v>N/A</v>
      </c>
      <c r="N125" s="1152" t="str">
        <f t="shared" si="57"/>
        <v>N/A</v>
      </c>
      <c r="O125" s="1152" t="str">
        <f t="shared" si="57"/>
        <v>N/A</v>
      </c>
      <c r="P125" s="1152" t="str">
        <f t="shared" si="57"/>
        <v>N/A</v>
      </c>
      <c r="Q125" s="1152" t="str">
        <f t="shared" si="57"/>
        <v>N/A</v>
      </c>
      <c r="R125" s="1152" t="str">
        <f t="shared" si="57"/>
        <v>N/A</v>
      </c>
    </row>
    <row r="126" spans="1:19" x14ac:dyDescent="0.2">
      <c r="C126" s="1155"/>
      <c r="D126" s="1155"/>
      <c r="E126" s="1156"/>
      <c r="F126" s="1079"/>
      <c r="G126" s="1091"/>
      <c r="H126" s="1091"/>
      <c r="I126" s="1091"/>
      <c r="J126" s="1091"/>
      <c r="K126" s="1091"/>
      <c r="L126" s="1091"/>
      <c r="M126" s="1091"/>
      <c r="N126" s="1091"/>
      <c r="O126" s="1091"/>
      <c r="P126" s="1091"/>
      <c r="Q126" s="1091"/>
      <c r="R126" s="1091"/>
      <c r="S126" s="1091"/>
    </row>
    <row r="127" spans="1:19" x14ac:dyDescent="0.2">
      <c r="F127" s="1079"/>
      <c r="H127" s="1116">
        <f>H119</f>
        <v>2011</v>
      </c>
      <c r="I127" s="1116">
        <f t="shared" ref="I127:R127" si="58">I119</f>
        <v>2012</v>
      </c>
      <c r="J127" s="1116">
        <f t="shared" si="58"/>
        <v>2013</v>
      </c>
      <c r="K127" s="1116">
        <f t="shared" si="58"/>
        <v>2014</v>
      </c>
      <c r="L127" s="1116">
        <f t="shared" si="58"/>
        <v>2015</v>
      </c>
      <c r="M127" s="1116">
        <f t="shared" si="58"/>
        <v>2016</v>
      </c>
      <c r="N127" s="1116">
        <f t="shared" si="58"/>
        <v>2017</v>
      </c>
      <c r="O127" s="1116">
        <f t="shared" si="58"/>
        <v>2018</v>
      </c>
      <c r="P127" s="1116">
        <f t="shared" si="58"/>
        <v>2019</v>
      </c>
      <c r="Q127" s="1116">
        <f t="shared" si="58"/>
        <v>2020</v>
      </c>
      <c r="R127" s="1116">
        <f t="shared" si="58"/>
        <v>2021</v>
      </c>
    </row>
    <row r="128" spans="1:19" x14ac:dyDescent="0.2">
      <c r="G128" s="1161" t="s">
        <v>331</v>
      </c>
      <c r="H128" s="1162">
        <f t="shared" ref="H128:R128" si="59">H33</f>
        <v>90.543999999999997</v>
      </c>
      <c r="I128" s="1162">
        <f t="shared" si="59"/>
        <v>148.59299999999999</v>
      </c>
      <c r="J128" s="1162">
        <f t="shared" si="59"/>
        <v>82.378</v>
      </c>
      <c r="K128" s="1162">
        <f t="shared" si="59"/>
        <v>77.909000000000006</v>
      </c>
      <c r="L128" s="1162">
        <f t="shared" si="59"/>
        <v>98.789000000000001</v>
      </c>
      <c r="M128" s="1162">
        <f t="shared" si="59"/>
        <v>74</v>
      </c>
      <c r="N128" s="1162">
        <f t="shared" si="59"/>
        <v>176</v>
      </c>
      <c r="O128" s="1162">
        <f t="shared" si="59"/>
        <v>680</v>
      </c>
      <c r="P128" s="1162">
        <f t="shared" si="59"/>
        <v>80</v>
      </c>
      <c r="Q128" s="1162">
        <f t="shared" si="59"/>
        <v>83</v>
      </c>
      <c r="R128" s="1162">
        <f t="shared" si="59"/>
        <v>83</v>
      </c>
    </row>
    <row r="129" spans="3:19" x14ac:dyDescent="0.2">
      <c r="G129" s="1161" t="s">
        <v>332</v>
      </c>
      <c r="H129" s="1162">
        <f t="shared" ref="H129:R130" si="60">H35</f>
        <v>28.617000000000001</v>
      </c>
      <c r="I129" s="1162">
        <f t="shared" si="60"/>
        <v>27.542999999999999</v>
      </c>
      <c r="J129" s="1162">
        <f t="shared" si="60"/>
        <v>29.349</v>
      </c>
      <c r="K129" s="1162">
        <f t="shared" si="60"/>
        <v>29.632999999999999</v>
      </c>
      <c r="L129" s="1162">
        <f t="shared" si="60"/>
        <v>28.37</v>
      </c>
      <c r="M129" s="1162">
        <f t="shared" si="60"/>
        <v>26</v>
      </c>
      <c r="N129" s="1162">
        <f t="shared" si="60"/>
        <v>28</v>
      </c>
      <c r="O129" s="1162">
        <f t="shared" si="60"/>
        <v>30</v>
      </c>
      <c r="P129" s="1162">
        <f t="shared" si="60"/>
        <v>30</v>
      </c>
      <c r="Q129" s="1162">
        <f t="shared" si="60"/>
        <v>31</v>
      </c>
      <c r="R129" s="1162">
        <f t="shared" si="60"/>
        <v>31</v>
      </c>
    </row>
    <row r="130" spans="3:19" x14ac:dyDescent="0.2">
      <c r="G130" s="1161" t="s">
        <v>333</v>
      </c>
      <c r="H130" s="1162">
        <f t="shared" si="60"/>
        <v>61.511000000000003</v>
      </c>
      <c r="I130" s="1162">
        <f t="shared" si="60"/>
        <v>121.05</v>
      </c>
      <c r="J130" s="1162">
        <f t="shared" si="60"/>
        <v>53.029000000000003</v>
      </c>
      <c r="K130" s="1162">
        <f t="shared" si="60"/>
        <v>48.276000000000003</v>
      </c>
      <c r="L130" s="1162">
        <f t="shared" si="60"/>
        <v>70.418999999999997</v>
      </c>
      <c r="M130" s="1162">
        <f t="shared" si="60"/>
        <v>35</v>
      </c>
      <c r="N130" s="1162">
        <f t="shared" si="60"/>
        <v>35</v>
      </c>
      <c r="O130" s="1162">
        <f t="shared" si="60"/>
        <v>535</v>
      </c>
      <c r="P130" s="1162">
        <f t="shared" si="60"/>
        <v>35</v>
      </c>
      <c r="Q130" s="1162">
        <f t="shared" si="60"/>
        <v>36</v>
      </c>
      <c r="R130" s="1162">
        <f t="shared" si="60"/>
        <v>36</v>
      </c>
    </row>
    <row r="131" spans="3:19" x14ac:dyDescent="0.2">
      <c r="G131" s="1161" t="s">
        <v>334</v>
      </c>
      <c r="H131" s="1162">
        <f t="shared" ref="H131:R131" si="61">H38+H41</f>
        <v>-77.811999999999983</v>
      </c>
      <c r="I131" s="1162">
        <f t="shared" si="61"/>
        <v>-134.01400000000001</v>
      </c>
      <c r="J131" s="1162">
        <f t="shared" si="61"/>
        <v>-80.322000000000003</v>
      </c>
      <c r="K131" s="1162">
        <f t="shared" si="61"/>
        <v>-72.171999999999997</v>
      </c>
      <c r="L131" s="1162">
        <f t="shared" si="61"/>
        <v>-101.73100000000001</v>
      </c>
      <c r="M131" s="1162">
        <f t="shared" si="61"/>
        <v>-76</v>
      </c>
      <c r="N131" s="1162">
        <f t="shared" si="61"/>
        <v>-75</v>
      </c>
      <c r="O131" s="1162">
        <f t="shared" si="61"/>
        <v>-80</v>
      </c>
      <c r="P131" s="1162">
        <f t="shared" si="61"/>
        <v>-781</v>
      </c>
      <c r="Q131" s="1162">
        <f t="shared" si="61"/>
        <v>-80</v>
      </c>
      <c r="R131" s="1162">
        <f t="shared" si="61"/>
        <v>-81</v>
      </c>
    </row>
    <row r="132" spans="3:19" x14ac:dyDescent="0.2">
      <c r="G132" s="1161" t="s">
        <v>335</v>
      </c>
      <c r="H132" s="1162">
        <f t="shared" ref="H132:R132" si="62">H41</f>
        <v>-77.811999999999983</v>
      </c>
      <c r="I132" s="1162">
        <f t="shared" si="62"/>
        <v>-134.01400000000001</v>
      </c>
      <c r="J132" s="1162">
        <f t="shared" si="62"/>
        <v>-80.322000000000003</v>
      </c>
      <c r="K132" s="1162">
        <f t="shared" si="62"/>
        <v>-72.171999999999997</v>
      </c>
      <c r="L132" s="1162">
        <f t="shared" si="62"/>
        <v>-101.73100000000001</v>
      </c>
      <c r="M132" s="1162">
        <f t="shared" si="62"/>
        <v>-76</v>
      </c>
      <c r="N132" s="1162">
        <f t="shared" si="62"/>
        <v>-75</v>
      </c>
      <c r="O132" s="1162">
        <f t="shared" si="62"/>
        <v>-80</v>
      </c>
      <c r="P132" s="1162">
        <f t="shared" si="62"/>
        <v>-81</v>
      </c>
      <c r="Q132" s="1162">
        <f t="shared" si="62"/>
        <v>-80</v>
      </c>
      <c r="R132" s="1162">
        <f t="shared" si="62"/>
        <v>-81</v>
      </c>
    </row>
    <row r="133" spans="3:19" x14ac:dyDescent="0.2">
      <c r="G133" s="1161" t="s">
        <v>336</v>
      </c>
      <c r="H133" s="1162">
        <f t="shared" ref="H133:R133" si="63">H38</f>
        <v>0</v>
      </c>
      <c r="I133" s="1162">
        <f t="shared" si="63"/>
        <v>0</v>
      </c>
      <c r="J133" s="1162">
        <f t="shared" si="63"/>
        <v>0</v>
      </c>
      <c r="K133" s="1162">
        <f t="shared" si="63"/>
        <v>0</v>
      </c>
      <c r="L133" s="1162">
        <f t="shared" si="63"/>
        <v>0</v>
      </c>
      <c r="M133" s="1162">
        <f t="shared" si="63"/>
        <v>0</v>
      </c>
      <c r="N133" s="1162">
        <f t="shared" si="63"/>
        <v>0</v>
      </c>
      <c r="O133" s="1162">
        <f t="shared" si="63"/>
        <v>0</v>
      </c>
      <c r="P133" s="1162">
        <f t="shared" si="63"/>
        <v>-700</v>
      </c>
      <c r="Q133" s="1162">
        <f t="shared" si="63"/>
        <v>0</v>
      </c>
      <c r="R133" s="1162">
        <f t="shared" si="63"/>
        <v>0</v>
      </c>
    </row>
    <row r="134" spans="3:19" x14ac:dyDescent="0.2">
      <c r="G134" s="1161" t="s">
        <v>337</v>
      </c>
      <c r="H134" s="1162">
        <f t="shared" ref="H134:R134" si="64">H46</f>
        <v>12.732000000000014</v>
      </c>
      <c r="I134" s="1162">
        <f t="shared" si="64"/>
        <v>14.578999999999979</v>
      </c>
      <c r="J134" s="1162">
        <f t="shared" si="64"/>
        <v>2.0559999999999974</v>
      </c>
      <c r="K134" s="1162">
        <f t="shared" si="64"/>
        <v>5.737000000000009</v>
      </c>
      <c r="L134" s="1162">
        <f t="shared" si="64"/>
        <v>-2.9420000000000073</v>
      </c>
      <c r="M134" s="1162">
        <f t="shared" si="64"/>
        <v>-2</v>
      </c>
      <c r="N134" s="1162">
        <f t="shared" si="64"/>
        <v>101</v>
      </c>
      <c r="O134" s="1162">
        <f t="shared" si="64"/>
        <v>600</v>
      </c>
      <c r="P134" s="1162">
        <f t="shared" si="64"/>
        <v>-701</v>
      </c>
      <c r="Q134" s="1162">
        <f t="shared" si="64"/>
        <v>3</v>
      </c>
      <c r="R134" s="1162">
        <f t="shared" si="64"/>
        <v>2</v>
      </c>
    </row>
    <row r="135" spans="3:19" x14ac:dyDescent="0.2">
      <c r="G135" s="1161" t="s">
        <v>338</v>
      </c>
      <c r="H135" s="1162">
        <f t="shared" ref="H135:R135" si="65">H51</f>
        <v>-13.482999999999986</v>
      </c>
      <c r="I135" s="1162">
        <f t="shared" si="65"/>
        <v>4.3299999999999788</v>
      </c>
      <c r="J135" s="1162">
        <f t="shared" si="65"/>
        <v>0.75199999999999734</v>
      </c>
      <c r="K135" s="1162">
        <f t="shared" si="65"/>
        <v>5.7390000000000088</v>
      </c>
      <c r="L135" s="1162">
        <f t="shared" si="65"/>
        <v>-2.9420000000000073</v>
      </c>
      <c r="M135" s="1162">
        <f t="shared" si="65"/>
        <v>-2</v>
      </c>
      <c r="N135" s="1162">
        <f t="shared" si="65"/>
        <v>101</v>
      </c>
      <c r="O135" s="1162">
        <f t="shared" si="65"/>
        <v>600</v>
      </c>
      <c r="P135" s="1162">
        <f t="shared" si="65"/>
        <v>-701</v>
      </c>
      <c r="Q135" s="1162">
        <f t="shared" si="65"/>
        <v>3</v>
      </c>
      <c r="R135" s="1162">
        <f t="shared" si="65"/>
        <v>2</v>
      </c>
    </row>
    <row r="136" spans="3:19" x14ac:dyDescent="0.2">
      <c r="G136" s="1161" t="s">
        <v>339</v>
      </c>
      <c r="H136" s="1162">
        <f t="shared" ref="H136:R137" si="66">H4</f>
        <v>274.15699999999998</v>
      </c>
      <c r="I136" s="1162">
        <f t="shared" si="66"/>
        <v>105.22400000000002</v>
      </c>
      <c r="J136" s="1162">
        <f t="shared" si="66"/>
        <v>29.085000000000001</v>
      </c>
      <c r="K136" s="1162">
        <f t="shared" si="66"/>
        <v>40.131999999999998</v>
      </c>
      <c r="L136" s="1162">
        <f t="shared" si="66"/>
        <v>27.113</v>
      </c>
      <c r="M136" s="1162">
        <f t="shared" si="66"/>
        <v>24</v>
      </c>
      <c r="N136" s="1162">
        <f t="shared" si="66"/>
        <v>126</v>
      </c>
      <c r="O136" s="1162">
        <f t="shared" si="66"/>
        <v>726</v>
      </c>
      <c r="P136" s="1162">
        <f t="shared" si="66"/>
        <v>25</v>
      </c>
      <c r="Q136" s="1162">
        <f t="shared" si="66"/>
        <v>29</v>
      </c>
      <c r="R136" s="1162">
        <f t="shared" si="66"/>
        <v>28</v>
      </c>
    </row>
    <row r="137" spans="3:19" x14ac:dyDescent="0.2">
      <c r="G137" s="1161" t="s">
        <v>340</v>
      </c>
      <c r="H137" s="1162">
        <f t="shared" si="66"/>
        <v>265.30799999999999</v>
      </c>
      <c r="I137" s="1162">
        <f t="shared" si="66"/>
        <v>97.297000000000011</v>
      </c>
      <c r="J137" s="1162">
        <f t="shared" si="66"/>
        <v>19.045999999999999</v>
      </c>
      <c r="K137" s="1162">
        <f t="shared" si="66"/>
        <v>34.048999999999999</v>
      </c>
      <c r="L137" s="1162">
        <f t="shared" si="66"/>
        <v>21.952999999999999</v>
      </c>
      <c r="M137" s="1162">
        <f t="shared" si="66"/>
        <v>19</v>
      </c>
      <c r="N137" s="1162">
        <f t="shared" si="66"/>
        <v>121</v>
      </c>
      <c r="O137" s="1162">
        <f t="shared" si="66"/>
        <v>721</v>
      </c>
      <c r="P137" s="1162">
        <f t="shared" si="66"/>
        <v>21</v>
      </c>
      <c r="Q137" s="1162">
        <f t="shared" si="66"/>
        <v>25</v>
      </c>
      <c r="R137" s="1162">
        <f t="shared" si="66"/>
        <v>25</v>
      </c>
    </row>
    <row r="138" spans="3:19" x14ac:dyDescent="0.2">
      <c r="G138" s="1161" t="s">
        <v>341</v>
      </c>
      <c r="H138" s="1162">
        <f t="shared" ref="H138:R138" si="67">H10</f>
        <v>8.8490000000000002</v>
      </c>
      <c r="I138" s="1162">
        <f t="shared" si="67"/>
        <v>7.9269999999999996</v>
      </c>
      <c r="J138" s="1162">
        <f t="shared" si="67"/>
        <v>10.039</v>
      </c>
      <c r="K138" s="1162">
        <f t="shared" si="67"/>
        <v>6.0830000000000002</v>
      </c>
      <c r="L138" s="1162">
        <f t="shared" si="67"/>
        <v>5.16</v>
      </c>
      <c r="M138" s="1162">
        <f t="shared" si="67"/>
        <v>5</v>
      </c>
      <c r="N138" s="1162">
        <f t="shared" si="67"/>
        <v>5</v>
      </c>
      <c r="O138" s="1162">
        <f t="shared" si="67"/>
        <v>5</v>
      </c>
      <c r="P138" s="1162">
        <f t="shared" si="67"/>
        <v>4</v>
      </c>
      <c r="Q138" s="1162">
        <f t="shared" si="67"/>
        <v>4</v>
      </c>
      <c r="R138" s="1162">
        <f t="shared" si="67"/>
        <v>3</v>
      </c>
    </row>
    <row r="139" spans="3:19" x14ac:dyDescent="0.2">
      <c r="G139" s="1161" t="s">
        <v>342</v>
      </c>
      <c r="H139" s="1162">
        <f t="shared" ref="H139:R140" si="68">H19</f>
        <v>262.08199999999999</v>
      </c>
      <c r="I139" s="1162">
        <f t="shared" si="68"/>
        <v>88.819000000000003</v>
      </c>
      <c r="J139" s="1162">
        <f t="shared" si="68"/>
        <v>11.926</v>
      </c>
      <c r="K139" s="1162">
        <f t="shared" si="68"/>
        <v>17.234999999999999</v>
      </c>
      <c r="L139" s="1162">
        <f t="shared" si="68"/>
        <v>7.1589999999999998</v>
      </c>
      <c r="M139" s="1162">
        <f t="shared" si="68"/>
        <v>6</v>
      </c>
      <c r="N139" s="1162">
        <f t="shared" si="68"/>
        <v>6</v>
      </c>
      <c r="O139" s="1162">
        <f t="shared" si="68"/>
        <v>6</v>
      </c>
      <c r="P139" s="1162">
        <f t="shared" si="68"/>
        <v>6</v>
      </c>
      <c r="Q139" s="1162">
        <f t="shared" si="68"/>
        <v>6</v>
      </c>
      <c r="R139" s="1162">
        <f t="shared" si="68"/>
        <v>6</v>
      </c>
    </row>
    <row r="140" spans="3:19" x14ac:dyDescent="0.2">
      <c r="G140" s="1161" t="s">
        <v>343</v>
      </c>
      <c r="H140" s="1162">
        <f t="shared" si="68"/>
        <v>262.08199999999999</v>
      </c>
      <c r="I140" s="1162">
        <f t="shared" si="68"/>
        <v>88.819000000000003</v>
      </c>
      <c r="J140" s="1162">
        <f t="shared" si="68"/>
        <v>11.926</v>
      </c>
      <c r="K140" s="1162">
        <f t="shared" si="68"/>
        <v>17.234999999999999</v>
      </c>
      <c r="L140" s="1162">
        <f t="shared" si="68"/>
        <v>7.1589999999999998</v>
      </c>
      <c r="M140" s="1162">
        <f t="shared" si="68"/>
        <v>0</v>
      </c>
      <c r="N140" s="1162">
        <f t="shared" si="68"/>
        <v>0</v>
      </c>
      <c r="O140" s="1162">
        <f t="shared" si="68"/>
        <v>0</v>
      </c>
      <c r="P140" s="1162">
        <f t="shared" si="68"/>
        <v>0</v>
      </c>
      <c r="Q140" s="1162">
        <f t="shared" si="68"/>
        <v>0</v>
      </c>
      <c r="R140" s="1162">
        <f t="shared" si="68"/>
        <v>0</v>
      </c>
    </row>
    <row r="141" spans="3:19" x14ac:dyDescent="0.2">
      <c r="G141" s="1161" t="s">
        <v>344</v>
      </c>
      <c r="H141" s="1162">
        <f t="shared" ref="H141:R141" si="69">H24</f>
        <v>246.30199999999999</v>
      </c>
      <c r="I141" s="1162">
        <f t="shared" si="69"/>
        <v>73</v>
      </c>
      <c r="J141" s="1162">
        <f t="shared" si="69"/>
        <v>0</v>
      </c>
      <c r="K141" s="1162">
        <f t="shared" si="69"/>
        <v>0</v>
      </c>
      <c r="L141" s="1162">
        <f t="shared" si="69"/>
        <v>0</v>
      </c>
      <c r="M141" s="1162">
        <f t="shared" si="69"/>
        <v>0</v>
      </c>
      <c r="N141" s="1162">
        <f t="shared" si="69"/>
        <v>0</v>
      </c>
      <c r="O141" s="1162">
        <f t="shared" si="69"/>
        <v>0</v>
      </c>
      <c r="P141" s="1162">
        <f t="shared" si="69"/>
        <v>0</v>
      </c>
      <c r="Q141" s="1162">
        <f t="shared" si="69"/>
        <v>0</v>
      </c>
      <c r="R141" s="1162">
        <f t="shared" si="69"/>
        <v>0</v>
      </c>
    </row>
    <row r="142" spans="3:19" x14ac:dyDescent="0.2">
      <c r="G142" s="1161" t="s">
        <v>345</v>
      </c>
      <c r="H142" s="1162">
        <f t="shared" ref="H142:R142" si="70">H27</f>
        <v>12.074</v>
      </c>
      <c r="I142" s="1162">
        <f t="shared" si="70"/>
        <v>16.405000000000001</v>
      </c>
      <c r="J142" s="1162">
        <f t="shared" si="70"/>
        <v>17.158000000000001</v>
      </c>
      <c r="K142" s="1162">
        <f t="shared" si="70"/>
        <v>22.897000000000002</v>
      </c>
      <c r="L142" s="1162">
        <f t="shared" si="70"/>
        <v>19.952999999999999</v>
      </c>
      <c r="M142" s="1162">
        <f t="shared" si="70"/>
        <v>18</v>
      </c>
      <c r="N142" s="1162">
        <f t="shared" si="70"/>
        <v>120</v>
      </c>
      <c r="O142" s="1162">
        <f t="shared" si="70"/>
        <v>720</v>
      </c>
      <c r="P142" s="1162">
        <f t="shared" si="70"/>
        <v>19</v>
      </c>
      <c r="Q142" s="1162">
        <f t="shared" si="70"/>
        <v>23</v>
      </c>
      <c r="R142" s="1162">
        <f t="shared" si="70"/>
        <v>22</v>
      </c>
    </row>
    <row r="143" spans="3:19" x14ac:dyDescent="0.2">
      <c r="C143" s="1155"/>
      <c r="D143" s="1155"/>
      <c r="E143" s="1156"/>
      <c r="G143" s="1091"/>
      <c r="H143" s="1091"/>
      <c r="I143" s="1091"/>
      <c r="J143" s="1091"/>
      <c r="K143" s="1091"/>
      <c r="L143" s="1091"/>
      <c r="M143" s="1091"/>
      <c r="N143" s="1091"/>
      <c r="O143" s="1091"/>
      <c r="P143" s="1091"/>
      <c r="Q143" s="1091"/>
      <c r="R143" s="1091"/>
      <c r="S143" s="1091"/>
    </row>
    <row r="144" spans="3:19" x14ac:dyDescent="0.2">
      <c r="C144" s="1091" t="s">
        <v>346</v>
      </c>
      <c r="G144" s="1091"/>
      <c r="H144" s="1091"/>
      <c r="I144" s="1091"/>
      <c r="J144" s="1091"/>
      <c r="K144" s="1091"/>
      <c r="L144" s="1091"/>
      <c r="M144" s="1091"/>
      <c r="N144" s="1091"/>
      <c r="O144" s="1091"/>
      <c r="P144" s="1091"/>
      <c r="Q144" s="1091"/>
      <c r="R144" s="1091"/>
      <c r="S144" s="1091"/>
    </row>
    <row r="145" spans="3:18" x14ac:dyDescent="0.2">
      <c r="C145" s="1091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</row>
    <row r="146" spans="3:18" x14ac:dyDescent="0.2">
      <c r="C146" s="1091" t="s">
        <v>347</v>
      </c>
      <c r="H146" s="1129"/>
      <c r="I146" s="1129"/>
      <c r="J146" s="1129"/>
      <c r="K146" s="1129"/>
      <c r="L146" s="1129"/>
      <c r="M146" s="1129"/>
      <c r="N146" s="1129"/>
      <c r="O146" s="1129"/>
      <c r="P146" s="1129"/>
      <c r="Q146" s="1129"/>
      <c r="R146" s="1129"/>
    </row>
    <row r="147" spans="3:18" x14ac:dyDescent="0.2">
      <c r="C147" s="1091" t="s">
        <v>348</v>
      </c>
      <c r="F147" s="1097"/>
      <c r="G147" s="1163"/>
      <c r="H147" s="1163"/>
      <c r="I147" s="1163"/>
      <c r="J147" s="1163"/>
      <c r="K147" s="1163"/>
      <c r="L147" s="1163"/>
      <c r="M147" s="1163"/>
      <c r="N147" s="1163"/>
      <c r="O147" s="1163"/>
      <c r="P147" s="1163"/>
      <c r="Q147" s="1163"/>
      <c r="R147" s="1163"/>
    </row>
    <row r="148" spans="3:18" x14ac:dyDescent="0.2">
      <c r="C148" s="1091"/>
      <c r="F148" s="1097"/>
      <c r="G148" s="1121"/>
      <c r="H148" s="1121"/>
      <c r="I148" s="1121"/>
      <c r="J148" s="1121"/>
      <c r="K148" s="1121"/>
      <c r="L148" s="1121"/>
      <c r="M148" s="1121"/>
      <c r="N148" s="1121"/>
      <c r="O148" s="1121"/>
      <c r="P148" s="1121"/>
      <c r="Q148" s="1121"/>
      <c r="R148" s="1121"/>
    </row>
    <row r="149" spans="3:18" x14ac:dyDescent="0.2">
      <c r="C149" s="1091" t="s">
        <v>349</v>
      </c>
      <c r="F149" s="1097"/>
    </row>
    <row r="150" spans="3:18" x14ac:dyDescent="0.2">
      <c r="C150" s="1091" t="s">
        <v>350</v>
      </c>
      <c r="F150" s="1097"/>
    </row>
  </sheetData>
  <sheetProtection selectLockedCells="1" selectUnlockedCells="1"/>
  <mergeCells count="3">
    <mergeCell ref="K2:L2"/>
    <mergeCell ref="M2:R2"/>
    <mergeCell ref="D87:E87"/>
  </mergeCells>
  <conditionalFormatting sqref="H116:Q116">
    <cfRule type="cellIs" dxfId="521" priority="1" stopIfTrue="1" operator="greaterThan">
      <formula>$E$116</formula>
    </cfRule>
    <cfRule type="cellIs" dxfId="520" priority="2" stopIfTrue="1" operator="lessThanOrEqual">
      <formula>$E$116</formula>
    </cfRule>
  </conditionalFormatting>
  <conditionalFormatting sqref="H118:Q118">
    <cfRule type="cellIs" dxfId="519" priority="3" stopIfTrue="1" operator="lessThanOrEqual">
      <formula>$E$118</formula>
    </cfRule>
    <cfRule type="cellIs" dxfId="518" priority="4" stopIfTrue="1" operator="greaterThan">
      <formula>$E$118</formula>
    </cfRule>
  </conditionalFormatting>
  <conditionalFormatting sqref="H99:Q99">
    <cfRule type="cellIs" dxfId="517" priority="5" stopIfTrue="1" operator="greaterThan">
      <formula>$E$99</formula>
    </cfRule>
    <cfRule type="cellIs" dxfId="516" priority="6" stopIfTrue="1" operator="lessThanOrEqual">
      <formula>$E$99</formula>
    </cfRule>
  </conditionalFormatting>
  <conditionalFormatting sqref="H102:Q102">
    <cfRule type="cellIs" dxfId="515" priority="7" stopIfTrue="1" operator="greaterThanOrEqual">
      <formula>$E$102</formula>
    </cfRule>
    <cfRule type="cellIs" dxfId="514" priority="8" stopIfTrue="1" operator="lessThan">
      <formula>$E$102</formula>
    </cfRule>
  </conditionalFormatting>
  <conditionalFormatting sqref="H104:Q104">
    <cfRule type="cellIs" dxfId="513" priority="9" stopIfTrue="1" operator="lessThan">
      <formula>$E$104</formula>
    </cfRule>
    <cfRule type="cellIs" dxfId="512" priority="10" stopIfTrue="1" operator="greaterThanOrEqual">
      <formula>$E$104</formula>
    </cfRule>
  </conditionalFormatting>
  <conditionalFormatting sqref="H103:Q103">
    <cfRule type="cellIs" dxfId="511" priority="11" stopIfTrue="1" operator="greaterThan">
      <formula>$E$103</formula>
    </cfRule>
    <cfRule type="cellIs" dxfId="510" priority="12" stopIfTrue="1" operator="lessThanOrEqual">
      <formula>$E$103</formula>
    </cfRule>
  </conditionalFormatting>
  <conditionalFormatting sqref="H100:Q100">
    <cfRule type="cellIs" dxfId="509" priority="13" stopIfTrue="1" operator="between">
      <formula>$D$100</formula>
      <formula>$E$100</formula>
    </cfRule>
    <cfRule type="cellIs" dxfId="508" priority="14" stopIfTrue="1" operator="lessThanOrEqual">
      <formula>$D$100</formula>
    </cfRule>
    <cfRule type="cellIs" dxfId="507" priority="15" stopIfTrue="1" operator="greaterThan">
      <formula>$E$100</formula>
    </cfRule>
  </conditionalFormatting>
  <conditionalFormatting sqref="H117:Q117">
    <cfRule type="cellIs" dxfId="506" priority="16" stopIfTrue="1" operator="greaterThan">
      <formula>$E$117</formula>
    </cfRule>
    <cfRule type="cellIs" dxfId="505" priority="17" stopIfTrue="1" operator="lessThanOrEqual">
      <formula>$E$117</formula>
    </cfRule>
  </conditionalFormatting>
  <conditionalFormatting sqref="H107:Q107">
    <cfRule type="cellIs" dxfId="504" priority="18" stopIfTrue="1" operator="greaterThan">
      <formula>$E$107</formula>
    </cfRule>
    <cfRule type="cellIs" dxfId="503" priority="19" stopIfTrue="1" operator="lessThanOrEqual">
      <formula>$E$107</formula>
    </cfRule>
  </conditionalFormatting>
  <conditionalFormatting sqref="H108:Q108">
    <cfRule type="cellIs" dxfId="502" priority="20" stopIfTrue="1" operator="lessThan">
      <formula>$E$108</formula>
    </cfRule>
    <cfRule type="cellIs" dxfId="501" priority="21" stopIfTrue="1" operator="greaterThanOrEqual">
      <formula>$E$108</formula>
    </cfRule>
  </conditionalFormatting>
  <conditionalFormatting sqref="H93:Q93">
    <cfRule type="cellIs" dxfId="500" priority="22" stopIfTrue="1" operator="lessThan">
      <formula>$D$93</formula>
    </cfRule>
    <cfRule type="cellIs" dxfId="499" priority="23" stopIfTrue="1" operator="between">
      <formula>$D$93</formula>
      <formula>$E$93</formula>
    </cfRule>
    <cfRule type="cellIs" dxfId="498" priority="24" stopIfTrue="1" operator="greaterThan">
      <formula>$E$93</formula>
    </cfRule>
  </conditionalFormatting>
  <conditionalFormatting sqref="H114:Q114">
    <cfRule type="cellIs" dxfId="497" priority="25" stopIfTrue="1" operator="lessThan">
      <formula>$E$114</formula>
    </cfRule>
    <cfRule type="cellIs" dxfId="496" priority="26" stopIfTrue="1" operator="between">
      <formula>$D$114</formula>
      <formula>$E$114</formula>
    </cfRule>
    <cfRule type="cellIs" dxfId="495" priority="27" stopIfTrue="1" operator="greaterThanOrEqual">
      <formula>$D$114</formula>
    </cfRule>
  </conditionalFormatting>
  <conditionalFormatting sqref="H90:Q90">
    <cfRule type="cellIs" dxfId="494" priority="28" stopIfTrue="1" operator="lessThan">
      <formula>$E$90</formula>
    </cfRule>
    <cfRule type="cellIs" dxfId="493" priority="29" stopIfTrue="1" operator="greaterThan">
      <formula>$E$90</formula>
    </cfRule>
  </conditionalFormatting>
  <conditionalFormatting sqref="R116">
    <cfRule type="cellIs" dxfId="492" priority="30" stopIfTrue="1" operator="greaterThan">
      <formula>$E$116</formula>
    </cfRule>
    <cfRule type="cellIs" dxfId="491" priority="31" stopIfTrue="1" operator="lessThanOrEqual">
      <formula>$E$116</formula>
    </cfRule>
  </conditionalFormatting>
  <conditionalFormatting sqref="R118">
    <cfRule type="cellIs" dxfId="490" priority="32" stopIfTrue="1" operator="lessThanOrEqual">
      <formula>$E$118</formula>
    </cfRule>
    <cfRule type="cellIs" dxfId="489" priority="33" stopIfTrue="1" operator="greaterThan">
      <formula>$E$118</formula>
    </cfRule>
  </conditionalFormatting>
  <conditionalFormatting sqref="R99">
    <cfRule type="cellIs" dxfId="488" priority="34" stopIfTrue="1" operator="greaterThan">
      <formula>$E$99</formula>
    </cfRule>
    <cfRule type="cellIs" dxfId="487" priority="35" stopIfTrue="1" operator="lessThanOrEqual">
      <formula>$E$99</formula>
    </cfRule>
  </conditionalFormatting>
  <conditionalFormatting sqref="R102">
    <cfRule type="cellIs" dxfId="486" priority="36" stopIfTrue="1" operator="greaterThanOrEqual">
      <formula>$E$102</formula>
    </cfRule>
    <cfRule type="cellIs" dxfId="485" priority="37" stopIfTrue="1" operator="lessThan">
      <formula>$E$102</formula>
    </cfRule>
  </conditionalFormatting>
  <conditionalFormatting sqref="R104">
    <cfRule type="cellIs" dxfId="484" priority="38" stopIfTrue="1" operator="lessThan">
      <formula>$E$104</formula>
    </cfRule>
    <cfRule type="cellIs" dxfId="483" priority="39" stopIfTrue="1" operator="greaterThanOrEqual">
      <formula>$E$104</formula>
    </cfRule>
  </conditionalFormatting>
  <conditionalFormatting sqref="R103">
    <cfRule type="cellIs" dxfId="482" priority="40" stopIfTrue="1" operator="greaterThan">
      <formula>$E$103</formula>
    </cfRule>
    <cfRule type="cellIs" dxfId="481" priority="41" stopIfTrue="1" operator="lessThanOrEqual">
      <formula>$E$103</formula>
    </cfRule>
  </conditionalFormatting>
  <conditionalFormatting sqref="R100">
    <cfRule type="cellIs" dxfId="480" priority="42" stopIfTrue="1" operator="between">
      <formula>$D$100</formula>
      <formula>$E$100</formula>
    </cfRule>
    <cfRule type="cellIs" dxfId="479" priority="43" stopIfTrue="1" operator="lessThanOrEqual">
      <formula>$D$100</formula>
    </cfRule>
    <cfRule type="cellIs" dxfId="478" priority="44" stopIfTrue="1" operator="greaterThan">
      <formula>$E$100</formula>
    </cfRule>
  </conditionalFormatting>
  <conditionalFormatting sqref="R117">
    <cfRule type="cellIs" dxfId="477" priority="45" stopIfTrue="1" operator="greaterThan">
      <formula>$E$117</formula>
    </cfRule>
    <cfRule type="cellIs" dxfId="476" priority="46" stopIfTrue="1" operator="lessThanOrEqual">
      <formula>$E$117</formula>
    </cfRule>
  </conditionalFormatting>
  <conditionalFormatting sqref="R107">
    <cfRule type="cellIs" dxfId="475" priority="47" stopIfTrue="1" operator="greaterThan">
      <formula>$E$107</formula>
    </cfRule>
    <cfRule type="cellIs" dxfId="474" priority="48" stopIfTrue="1" operator="lessThanOrEqual">
      <formula>$E$107</formula>
    </cfRule>
  </conditionalFormatting>
  <conditionalFormatting sqref="R108">
    <cfRule type="cellIs" dxfId="473" priority="49" stopIfTrue="1" operator="lessThan">
      <formula>$E$108</formula>
    </cfRule>
    <cfRule type="cellIs" dxfId="472" priority="50" stopIfTrue="1" operator="greaterThanOrEqual">
      <formula>$E$108</formula>
    </cfRule>
  </conditionalFormatting>
  <conditionalFormatting sqref="R93">
    <cfRule type="cellIs" dxfId="471" priority="51" stopIfTrue="1" operator="lessThan">
      <formula>$D$93</formula>
    </cfRule>
    <cfRule type="cellIs" dxfId="470" priority="52" stopIfTrue="1" operator="between">
      <formula>$D$93</formula>
      <formula>$E$93</formula>
    </cfRule>
    <cfRule type="cellIs" dxfId="469" priority="53" stopIfTrue="1" operator="greaterThan">
      <formula>$E$93</formula>
    </cfRule>
  </conditionalFormatting>
  <conditionalFormatting sqref="R114">
    <cfRule type="cellIs" dxfId="468" priority="54" stopIfTrue="1" operator="lessThan">
      <formula>$E$114</formula>
    </cfRule>
    <cfRule type="cellIs" dxfId="467" priority="55" stopIfTrue="1" operator="between">
      <formula>$D$114</formula>
      <formula>$E$114</formula>
    </cfRule>
    <cfRule type="cellIs" dxfId="466" priority="56" stopIfTrue="1" operator="greaterThanOrEqual">
      <formula>$D$114</formula>
    </cfRule>
  </conditionalFormatting>
  <conditionalFormatting sqref="R90">
    <cfRule type="cellIs" dxfId="465" priority="57" stopIfTrue="1" operator="lessThan">
      <formula>$E$90</formula>
    </cfRule>
    <cfRule type="cellIs" dxfId="464" priority="58" stopIfTrue="1" operator="greaterThan">
      <formula>$E$90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18.570312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18.570312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18.570312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18.570312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18.570312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18.570312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18.570312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18.570312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18.570312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18.570312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18.570312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18.570312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18.570312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18.570312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18.570312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18.570312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18.570312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18.570312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18.570312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18.570312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18.570312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18.570312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18.570312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18.570312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18.570312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18.570312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18.570312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18.570312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18.570312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18.570312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18.570312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18.570312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18.570312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18.570312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18.570312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18.570312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18.570312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18.570312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18.570312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18.570312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18.570312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18.570312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18.570312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18.570312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18.570312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18.570312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18.570312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18.570312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18.570312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18.570312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18.570312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18.570312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18.570312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18.570312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18.570312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18.570312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18.570312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18.570312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18.570312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18.570312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18.570312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18.570312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18.570312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18.570312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960" t="s">
        <v>497</v>
      </c>
      <c r="H2" s="961" t="s">
        <v>498</v>
      </c>
      <c r="I2" s="962"/>
      <c r="J2" s="963"/>
      <c r="K2" s="1302" t="s">
        <v>6</v>
      </c>
      <c r="L2" s="1303"/>
      <c r="M2" s="1304"/>
      <c r="N2" s="1305"/>
      <c r="O2" s="1305"/>
      <c r="P2" s="1305"/>
      <c r="Q2" s="1305"/>
      <c r="R2" s="1306"/>
    </row>
    <row r="3" spans="1:18" x14ac:dyDescent="0.2">
      <c r="A3" s="1"/>
      <c r="B3" s="10"/>
      <c r="C3" s="3"/>
      <c r="D3" s="3"/>
      <c r="E3" s="1"/>
      <c r="F3" s="1"/>
      <c r="G3" s="964" t="s">
        <v>7</v>
      </c>
      <c r="H3" s="965">
        <v>40908</v>
      </c>
      <c r="I3" s="965">
        <v>41274</v>
      </c>
      <c r="J3" s="965">
        <v>41639</v>
      </c>
      <c r="K3" s="965">
        <v>42004</v>
      </c>
      <c r="L3" s="965">
        <v>42369</v>
      </c>
      <c r="M3" s="965">
        <v>42735</v>
      </c>
      <c r="N3" s="965">
        <v>43100</v>
      </c>
      <c r="O3" s="965">
        <v>43465</v>
      </c>
      <c r="P3" s="965">
        <v>43830</v>
      </c>
      <c r="Q3" s="965">
        <v>44196</v>
      </c>
      <c r="R3" s="965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966" t="s">
        <v>9</v>
      </c>
      <c r="H4" s="967">
        <f t="shared" ref="H4:R4" si="0">H5+H10</f>
        <v>0</v>
      </c>
      <c r="I4" s="967">
        <f t="shared" si="0"/>
        <v>87.119</v>
      </c>
      <c r="J4" s="967">
        <f t="shared" si="0"/>
        <v>272.86899999999997</v>
      </c>
      <c r="K4" s="967">
        <f t="shared" si="0"/>
        <v>454.71899999999999</v>
      </c>
      <c r="L4" s="967">
        <f t="shared" si="0"/>
        <v>467.31800000000004</v>
      </c>
      <c r="M4" s="967">
        <f t="shared" si="0"/>
        <v>229</v>
      </c>
      <c r="N4" s="967">
        <f t="shared" si="0"/>
        <v>275</v>
      </c>
      <c r="O4" s="967">
        <f t="shared" si="0"/>
        <v>255</v>
      </c>
      <c r="P4" s="967">
        <f t="shared" si="0"/>
        <v>245</v>
      </c>
      <c r="Q4" s="967">
        <f t="shared" si="0"/>
        <v>235</v>
      </c>
      <c r="R4" s="967">
        <f t="shared" si="0"/>
        <v>225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967">
        <f t="shared" ref="H5:Q5" si="1">SUM(H6:H9)</f>
        <v>0</v>
      </c>
      <c r="I5" s="967">
        <f t="shared" si="1"/>
        <v>0</v>
      </c>
      <c r="J5" s="967">
        <f t="shared" si="1"/>
        <v>198.15199999999999</v>
      </c>
      <c r="K5" s="967">
        <f t="shared" si="1"/>
        <v>341.613</v>
      </c>
      <c r="L5" s="967">
        <f t="shared" si="1"/>
        <v>389.41900000000004</v>
      </c>
      <c r="M5" s="967">
        <f t="shared" si="1"/>
        <v>171</v>
      </c>
      <c r="N5" s="967">
        <f t="shared" si="1"/>
        <v>205</v>
      </c>
      <c r="O5" s="967">
        <f t="shared" si="1"/>
        <v>205</v>
      </c>
      <c r="P5" s="967">
        <f t="shared" si="1"/>
        <v>205</v>
      </c>
      <c r="Q5" s="967">
        <f t="shared" si="1"/>
        <v>205</v>
      </c>
      <c r="R5" s="967">
        <f>SUM(R6:R9)</f>
        <v>205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968">
        <v>0</v>
      </c>
      <c r="I6" s="968">
        <v>0</v>
      </c>
      <c r="J6" s="968">
        <v>133.09899999999999</v>
      </c>
      <c r="K6" s="968">
        <v>132.459</v>
      </c>
      <c r="L6" s="968">
        <v>311.476</v>
      </c>
      <c r="M6" s="968">
        <v>13</v>
      </c>
      <c r="N6" s="968">
        <v>100</v>
      </c>
      <c r="O6" s="968">
        <v>100</v>
      </c>
      <c r="P6" s="968">
        <v>100</v>
      </c>
      <c r="Q6" s="968">
        <v>100</v>
      </c>
      <c r="R6" s="968">
        <v>100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968">
        <v>0</v>
      </c>
      <c r="I7" s="968">
        <v>0</v>
      </c>
      <c r="J7" s="968">
        <v>47.012</v>
      </c>
      <c r="K7" s="968">
        <v>191.351</v>
      </c>
      <c r="L7" s="968">
        <v>68.311000000000007</v>
      </c>
      <c r="M7" s="968">
        <v>147</v>
      </c>
      <c r="N7" s="968">
        <v>105</v>
      </c>
      <c r="O7" s="968">
        <v>105</v>
      </c>
      <c r="P7" s="968">
        <v>105</v>
      </c>
      <c r="Q7" s="968">
        <v>105</v>
      </c>
      <c r="R7" s="968">
        <v>105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968">
        <v>0</v>
      </c>
      <c r="I8" s="968">
        <v>0</v>
      </c>
      <c r="J8" s="968">
        <v>0</v>
      </c>
      <c r="K8" s="968">
        <v>0</v>
      </c>
      <c r="L8" s="968">
        <v>0</v>
      </c>
      <c r="M8" s="968">
        <v>0</v>
      </c>
      <c r="N8" s="968">
        <v>0</v>
      </c>
      <c r="O8" s="968">
        <v>0</v>
      </c>
      <c r="P8" s="968">
        <v>0</v>
      </c>
      <c r="Q8" s="968">
        <v>0</v>
      </c>
      <c r="R8" s="968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968">
        <v>0</v>
      </c>
      <c r="I9" s="968">
        <v>0</v>
      </c>
      <c r="J9" s="968">
        <v>18.041</v>
      </c>
      <c r="K9" s="968">
        <v>17.803000000000001</v>
      </c>
      <c r="L9" s="968">
        <v>9.6319999999999997</v>
      </c>
      <c r="M9" s="968">
        <v>11</v>
      </c>
      <c r="N9" s="968">
        <v>0</v>
      </c>
      <c r="O9" s="968">
        <v>0</v>
      </c>
      <c r="P9" s="968">
        <v>0</v>
      </c>
      <c r="Q9" s="968">
        <v>0</v>
      </c>
      <c r="R9" s="968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967">
        <f>SUM(H11:H16)</f>
        <v>0</v>
      </c>
      <c r="I10" s="967">
        <f t="shared" ref="I10:R10" si="2">SUM(I11:I16)</f>
        <v>87.119</v>
      </c>
      <c r="J10" s="967">
        <f t="shared" si="2"/>
        <v>74.716999999999999</v>
      </c>
      <c r="K10" s="967">
        <f t="shared" si="2"/>
        <v>113.10599999999999</v>
      </c>
      <c r="L10" s="967">
        <f t="shared" si="2"/>
        <v>77.899000000000001</v>
      </c>
      <c r="M10" s="967">
        <f t="shared" si="2"/>
        <v>58</v>
      </c>
      <c r="N10" s="967">
        <f t="shared" si="2"/>
        <v>70</v>
      </c>
      <c r="O10" s="967">
        <f t="shared" si="2"/>
        <v>50</v>
      </c>
      <c r="P10" s="967">
        <f t="shared" si="2"/>
        <v>40</v>
      </c>
      <c r="Q10" s="967">
        <f t="shared" si="2"/>
        <v>30</v>
      </c>
      <c r="R10" s="967">
        <f t="shared" si="2"/>
        <v>20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968">
        <v>0</v>
      </c>
      <c r="I11" s="968">
        <v>0</v>
      </c>
      <c r="J11" s="968">
        <v>0</v>
      </c>
      <c r="K11" s="968">
        <v>0</v>
      </c>
      <c r="L11" s="968">
        <v>0</v>
      </c>
      <c r="M11" s="968">
        <v>0</v>
      </c>
      <c r="N11" s="968">
        <v>0</v>
      </c>
      <c r="O11" s="968">
        <v>0</v>
      </c>
      <c r="P11" s="968">
        <v>0</v>
      </c>
      <c r="Q11" s="968">
        <v>0</v>
      </c>
      <c r="R11" s="968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968">
        <v>0</v>
      </c>
      <c r="I12" s="968">
        <v>0</v>
      </c>
      <c r="J12" s="968">
        <v>0</v>
      </c>
      <c r="K12" s="968">
        <v>0</v>
      </c>
      <c r="L12" s="968">
        <v>0</v>
      </c>
      <c r="M12" s="968">
        <v>0</v>
      </c>
      <c r="N12" s="968">
        <v>0</v>
      </c>
      <c r="O12" s="968">
        <v>0</v>
      </c>
      <c r="P12" s="968">
        <v>0</v>
      </c>
      <c r="Q12" s="968">
        <v>0</v>
      </c>
      <c r="R12" s="968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968">
        <v>0</v>
      </c>
      <c r="I13" s="968">
        <v>0</v>
      </c>
      <c r="J13" s="968">
        <v>0</v>
      </c>
      <c r="K13" s="968">
        <v>0</v>
      </c>
      <c r="L13" s="968">
        <v>0</v>
      </c>
      <c r="M13" s="968">
        <v>0</v>
      </c>
      <c r="N13" s="968">
        <v>0</v>
      </c>
      <c r="O13" s="968">
        <v>0</v>
      </c>
      <c r="P13" s="968">
        <v>0</v>
      </c>
      <c r="Q13" s="968">
        <v>0</v>
      </c>
      <c r="R13" s="968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968">
        <v>0</v>
      </c>
      <c r="I14" s="968">
        <v>0</v>
      </c>
      <c r="J14" s="968">
        <v>0</v>
      </c>
      <c r="K14" s="968">
        <v>0</v>
      </c>
      <c r="L14" s="968">
        <v>0</v>
      </c>
      <c r="M14" s="968">
        <v>0</v>
      </c>
      <c r="N14" s="968">
        <v>0</v>
      </c>
      <c r="O14" s="968">
        <v>0</v>
      </c>
      <c r="P14" s="968">
        <v>0</v>
      </c>
      <c r="Q14" s="968">
        <v>0</v>
      </c>
      <c r="R14" s="968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968">
        <v>0</v>
      </c>
      <c r="I15" s="968">
        <v>87.119</v>
      </c>
      <c r="J15" s="968">
        <v>74.716999999999999</v>
      </c>
      <c r="K15" s="968">
        <v>113.10599999999999</v>
      </c>
      <c r="L15" s="968">
        <v>77.899000000000001</v>
      </c>
      <c r="M15" s="968">
        <v>58</v>
      </c>
      <c r="N15" s="968">
        <v>70</v>
      </c>
      <c r="O15" s="968">
        <v>50</v>
      </c>
      <c r="P15" s="968">
        <v>40</v>
      </c>
      <c r="Q15" s="968">
        <v>30</v>
      </c>
      <c r="R15" s="968">
        <v>20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968">
        <v>0</v>
      </c>
      <c r="I16" s="968">
        <v>0</v>
      </c>
      <c r="J16" s="968">
        <v>0</v>
      </c>
      <c r="K16" s="968">
        <v>0</v>
      </c>
      <c r="L16" s="968">
        <v>0</v>
      </c>
      <c r="M16" s="968">
        <v>0</v>
      </c>
      <c r="N16" s="968">
        <v>0</v>
      </c>
      <c r="O16" s="968">
        <v>0</v>
      </c>
      <c r="P16" s="968">
        <v>0</v>
      </c>
      <c r="Q16" s="968">
        <v>0</v>
      </c>
      <c r="R16" s="968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969">
        <v>0</v>
      </c>
      <c r="I17" s="969">
        <v>0</v>
      </c>
      <c r="J17" s="969">
        <v>0</v>
      </c>
      <c r="K17" s="969">
        <v>0</v>
      </c>
      <c r="L17" s="969">
        <v>0</v>
      </c>
      <c r="M17" s="969">
        <v>0</v>
      </c>
      <c r="N17" s="969">
        <v>0</v>
      </c>
      <c r="O17" s="969">
        <v>0</v>
      </c>
      <c r="P17" s="969">
        <v>0</v>
      </c>
      <c r="Q17" s="969">
        <v>0</v>
      </c>
      <c r="R17" s="969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967">
        <f>H19+H27</f>
        <v>0</v>
      </c>
      <c r="I18" s="967">
        <f t="shared" ref="I18:R18" si="3">I19+I27</f>
        <v>87.119</v>
      </c>
      <c r="J18" s="967">
        <f t="shared" si="3"/>
        <v>272.87</v>
      </c>
      <c r="K18" s="967">
        <f t="shared" si="3"/>
        <v>454.71899999999999</v>
      </c>
      <c r="L18" s="967">
        <f t="shared" si="3"/>
        <v>467.31799999999998</v>
      </c>
      <c r="M18" s="967">
        <f t="shared" si="3"/>
        <v>229</v>
      </c>
      <c r="N18" s="967">
        <f t="shared" si="3"/>
        <v>275</v>
      </c>
      <c r="O18" s="967">
        <f t="shared" si="3"/>
        <v>255</v>
      </c>
      <c r="P18" s="967">
        <f t="shared" si="3"/>
        <v>245</v>
      </c>
      <c r="Q18" s="967">
        <f t="shared" si="3"/>
        <v>235</v>
      </c>
      <c r="R18" s="967">
        <f t="shared" si="3"/>
        <v>225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967">
        <f>SUM(H21:H26)</f>
        <v>0</v>
      </c>
      <c r="I19" s="967">
        <f t="shared" ref="I19:R19" si="4">SUM(I21:I26)</f>
        <v>0</v>
      </c>
      <c r="J19" s="967">
        <f t="shared" si="4"/>
        <v>249.047</v>
      </c>
      <c r="K19" s="967">
        <f t="shared" si="4"/>
        <v>451.44799999999998</v>
      </c>
      <c r="L19" s="967">
        <f t="shared" si="4"/>
        <v>206.05600000000001</v>
      </c>
      <c r="M19" s="967">
        <f t="shared" si="4"/>
        <v>298</v>
      </c>
      <c r="N19" s="967">
        <f t="shared" si="4"/>
        <v>250</v>
      </c>
      <c r="O19" s="967">
        <f t="shared" si="4"/>
        <v>250</v>
      </c>
      <c r="P19" s="967">
        <f t="shared" si="4"/>
        <v>250</v>
      </c>
      <c r="Q19" s="967">
        <f t="shared" si="4"/>
        <v>250</v>
      </c>
      <c r="R19" s="967">
        <f t="shared" si="4"/>
        <v>250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970">
        <v>0</v>
      </c>
      <c r="I20" s="970">
        <v>0</v>
      </c>
      <c r="J20" s="970">
        <v>249.047</v>
      </c>
      <c r="K20" s="970">
        <v>451.44799999999998</v>
      </c>
      <c r="L20" s="970">
        <v>206.05600000000001</v>
      </c>
      <c r="M20" s="970">
        <v>298</v>
      </c>
      <c r="N20" s="970">
        <v>250</v>
      </c>
      <c r="O20" s="970">
        <v>250</v>
      </c>
      <c r="P20" s="970">
        <v>250</v>
      </c>
      <c r="Q20" s="970">
        <v>250</v>
      </c>
      <c r="R20" s="970">
        <v>250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968">
        <v>0</v>
      </c>
      <c r="I21" s="968">
        <v>0</v>
      </c>
      <c r="J21" s="968">
        <v>249.047</v>
      </c>
      <c r="K21" s="968">
        <v>451.44799999999998</v>
      </c>
      <c r="L21" s="968">
        <v>206.05600000000001</v>
      </c>
      <c r="M21" s="968">
        <v>298</v>
      </c>
      <c r="N21" s="968">
        <v>250</v>
      </c>
      <c r="O21" s="968">
        <v>250</v>
      </c>
      <c r="P21" s="968">
        <v>250</v>
      </c>
      <c r="Q21" s="968">
        <v>250</v>
      </c>
      <c r="R21" s="968">
        <v>250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968">
        <v>0</v>
      </c>
      <c r="I22" s="968">
        <v>0</v>
      </c>
      <c r="J22" s="968">
        <v>0</v>
      </c>
      <c r="K22" s="968">
        <v>0</v>
      </c>
      <c r="L22" s="968">
        <v>0</v>
      </c>
      <c r="M22" s="968">
        <v>0</v>
      </c>
      <c r="N22" s="968">
        <v>0</v>
      </c>
      <c r="O22" s="968">
        <v>0</v>
      </c>
      <c r="P22" s="968">
        <v>0</v>
      </c>
      <c r="Q22" s="968">
        <v>0</v>
      </c>
      <c r="R22" s="968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968">
        <v>0</v>
      </c>
      <c r="I23" s="968">
        <v>0</v>
      </c>
      <c r="J23" s="968">
        <v>0</v>
      </c>
      <c r="K23" s="968">
        <v>0</v>
      </c>
      <c r="L23" s="968">
        <v>0</v>
      </c>
      <c r="M23" s="968">
        <v>0</v>
      </c>
      <c r="N23" s="968">
        <v>0</v>
      </c>
      <c r="O23" s="968">
        <v>0</v>
      </c>
      <c r="P23" s="968">
        <v>0</v>
      </c>
      <c r="Q23" s="968">
        <v>0</v>
      </c>
      <c r="R23" s="968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968">
        <v>0</v>
      </c>
      <c r="I24" s="968">
        <v>0</v>
      </c>
      <c r="J24" s="968">
        <v>0</v>
      </c>
      <c r="K24" s="968">
        <v>0</v>
      </c>
      <c r="L24" s="968">
        <v>0</v>
      </c>
      <c r="M24" s="968">
        <v>0</v>
      </c>
      <c r="N24" s="968">
        <v>0</v>
      </c>
      <c r="O24" s="968">
        <v>0</v>
      </c>
      <c r="P24" s="968">
        <v>0</v>
      </c>
      <c r="Q24" s="968">
        <v>0</v>
      </c>
      <c r="R24" s="968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968">
        <v>0</v>
      </c>
      <c r="I25" s="968">
        <v>0</v>
      </c>
      <c r="J25" s="968">
        <v>0</v>
      </c>
      <c r="K25" s="968">
        <v>0</v>
      </c>
      <c r="L25" s="968">
        <v>0</v>
      </c>
      <c r="M25" s="968">
        <v>0</v>
      </c>
      <c r="N25" s="968">
        <v>0</v>
      </c>
      <c r="O25" s="968">
        <v>0</v>
      </c>
      <c r="P25" s="968">
        <v>0</v>
      </c>
      <c r="Q25" s="968">
        <v>0</v>
      </c>
      <c r="R25" s="968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968">
        <v>0</v>
      </c>
      <c r="I26" s="968">
        <v>0</v>
      </c>
      <c r="J26" s="968">
        <v>0</v>
      </c>
      <c r="K26" s="968">
        <v>0</v>
      </c>
      <c r="L26" s="968">
        <v>0</v>
      </c>
      <c r="M26" s="968">
        <v>0</v>
      </c>
      <c r="N26" s="968">
        <v>0</v>
      </c>
      <c r="O26" s="968">
        <v>0</v>
      </c>
      <c r="P26" s="968">
        <v>0</v>
      </c>
      <c r="Q26" s="968">
        <v>0</v>
      </c>
      <c r="R26" s="968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967">
        <f>SUM(H28:H30)</f>
        <v>0</v>
      </c>
      <c r="I27" s="967">
        <f t="shared" ref="I27:R27" si="5">SUM(I28:I30)</f>
        <v>87.119</v>
      </c>
      <c r="J27" s="967">
        <f t="shared" si="5"/>
        <v>23.823000000000008</v>
      </c>
      <c r="K27" s="967">
        <f t="shared" si="5"/>
        <v>3.2710000000000008</v>
      </c>
      <c r="L27" s="967">
        <f t="shared" si="5"/>
        <v>261.262</v>
      </c>
      <c r="M27" s="967">
        <f t="shared" si="5"/>
        <v>-69</v>
      </c>
      <c r="N27" s="967">
        <f t="shared" si="5"/>
        <v>25</v>
      </c>
      <c r="O27" s="967">
        <f t="shared" si="5"/>
        <v>5</v>
      </c>
      <c r="P27" s="967">
        <f t="shared" si="5"/>
        <v>-5</v>
      </c>
      <c r="Q27" s="967">
        <f t="shared" si="5"/>
        <v>-15</v>
      </c>
      <c r="R27" s="967">
        <f t="shared" si="5"/>
        <v>-25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968">
        <v>0</v>
      </c>
      <c r="I28" s="968">
        <v>87.119</v>
      </c>
      <c r="J28" s="968">
        <v>107.819</v>
      </c>
      <c r="K28" s="968">
        <v>23.823</v>
      </c>
      <c r="L28" s="968">
        <v>107.819</v>
      </c>
      <c r="M28" s="968">
        <v>108</v>
      </c>
      <c r="N28" s="968">
        <v>108</v>
      </c>
      <c r="O28" s="968">
        <v>108</v>
      </c>
      <c r="P28" s="968">
        <v>108</v>
      </c>
      <c r="Q28" s="968">
        <v>108</v>
      </c>
      <c r="R28" s="968">
        <v>108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968">
        <v>0</v>
      </c>
      <c r="I29" s="968">
        <v>0</v>
      </c>
      <c r="J29" s="968">
        <v>0</v>
      </c>
      <c r="K29" s="968">
        <v>0</v>
      </c>
      <c r="L29" s="968">
        <v>-104.548</v>
      </c>
      <c r="M29" s="968">
        <v>153</v>
      </c>
      <c r="N29" s="968">
        <v>177</v>
      </c>
      <c r="O29" s="968">
        <v>77</v>
      </c>
      <c r="P29" s="968">
        <v>-28</v>
      </c>
      <c r="Q29" s="968">
        <v>-128</v>
      </c>
      <c r="R29" s="968">
        <v>-233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968">
        <v>0</v>
      </c>
      <c r="I30" s="968">
        <v>0</v>
      </c>
      <c r="J30" s="968">
        <v>-83.995999999999995</v>
      </c>
      <c r="K30" s="968">
        <v>-20.552</v>
      </c>
      <c r="L30" s="968">
        <v>257.99099999999999</v>
      </c>
      <c r="M30" s="968">
        <v>-330</v>
      </c>
      <c r="N30" s="968">
        <v>-260</v>
      </c>
      <c r="O30" s="968">
        <v>-180</v>
      </c>
      <c r="P30" s="968">
        <v>-85</v>
      </c>
      <c r="Q30" s="968">
        <v>5</v>
      </c>
      <c r="R30" s="968">
        <v>100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971">
        <f t="shared" ref="H31:R31" si="6">H4-H18</f>
        <v>0</v>
      </c>
      <c r="I31" s="971">
        <f t="shared" si="6"/>
        <v>0</v>
      </c>
      <c r="J31" s="971">
        <f t="shared" si="6"/>
        <v>-1.0000000000331966E-3</v>
      </c>
      <c r="K31" s="971">
        <f t="shared" si="6"/>
        <v>0</v>
      </c>
      <c r="L31" s="971">
        <f t="shared" si="6"/>
        <v>0</v>
      </c>
      <c r="M31" s="971">
        <f t="shared" si="6"/>
        <v>0</v>
      </c>
      <c r="N31" s="971">
        <f t="shared" si="6"/>
        <v>0</v>
      </c>
      <c r="O31" s="971">
        <f t="shared" si="6"/>
        <v>0</v>
      </c>
      <c r="P31" s="971">
        <f t="shared" si="6"/>
        <v>0</v>
      </c>
      <c r="Q31" s="971">
        <f t="shared" si="6"/>
        <v>0</v>
      </c>
      <c r="R31" s="971">
        <f t="shared" si="6"/>
        <v>0</v>
      </c>
      <c r="S31" s="4"/>
    </row>
    <row r="32" spans="1:19" x14ac:dyDescent="0.2">
      <c r="G32" s="964" t="s">
        <v>78</v>
      </c>
      <c r="H32" s="972">
        <v>2011</v>
      </c>
      <c r="I32" s="972">
        <f t="shared" ref="I32:R32" si="7">H32+1</f>
        <v>2012</v>
      </c>
      <c r="J32" s="972">
        <f t="shared" si="7"/>
        <v>2013</v>
      </c>
      <c r="K32" s="972">
        <f t="shared" si="7"/>
        <v>2014</v>
      </c>
      <c r="L32" s="972">
        <f t="shared" si="7"/>
        <v>2015</v>
      </c>
      <c r="M32" s="972">
        <f t="shared" si="7"/>
        <v>2016</v>
      </c>
      <c r="N32" s="972">
        <f t="shared" si="7"/>
        <v>2017</v>
      </c>
      <c r="O32" s="972">
        <f t="shared" si="7"/>
        <v>2018</v>
      </c>
      <c r="P32" s="972">
        <f t="shared" si="7"/>
        <v>2019</v>
      </c>
      <c r="Q32" s="972">
        <f t="shared" si="7"/>
        <v>2020</v>
      </c>
      <c r="R32" s="972">
        <f t="shared" si="7"/>
        <v>2021</v>
      </c>
    </row>
    <row r="33" spans="1:18" x14ac:dyDescent="0.2">
      <c r="B33" s="2" t="s">
        <v>79</v>
      </c>
      <c r="C33" s="19">
        <v>3</v>
      </c>
      <c r="G33" s="966" t="s">
        <v>80</v>
      </c>
      <c r="H33" s="967">
        <f>SUM(H34:H37)</f>
        <v>0</v>
      </c>
      <c r="I33" s="967">
        <f t="shared" ref="I33:R33" si="8">SUM(I34:I37)</f>
        <v>0</v>
      </c>
      <c r="J33" s="967">
        <f t="shared" si="8"/>
        <v>1353.327</v>
      </c>
      <c r="K33" s="967">
        <f t="shared" si="8"/>
        <v>1679.8530000000001</v>
      </c>
      <c r="L33" s="967">
        <f t="shared" si="8"/>
        <v>2347.3310000000001</v>
      </c>
      <c r="M33" s="967">
        <f t="shared" si="8"/>
        <v>1875</v>
      </c>
      <c r="N33" s="967">
        <f t="shared" si="8"/>
        <v>2000</v>
      </c>
      <c r="O33" s="967">
        <f t="shared" si="8"/>
        <v>2000</v>
      </c>
      <c r="P33" s="967">
        <f t="shared" si="8"/>
        <v>2000</v>
      </c>
      <c r="Q33" s="967">
        <f t="shared" si="8"/>
        <v>2000</v>
      </c>
      <c r="R33" s="967">
        <f t="shared" si="8"/>
        <v>2000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968">
        <v>0</v>
      </c>
      <c r="I34" s="968">
        <v>0</v>
      </c>
      <c r="J34" s="968">
        <v>0</v>
      </c>
      <c r="K34" s="968">
        <v>0</v>
      </c>
      <c r="L34" s="968">
        <v>0</v>
      </c>
      <c r="M34" s="968">
        <v>0</v>
      </c>
      <c r="N34" s="968">
        <v>0</v>
      </c>
      <c r="O34" s="968">
        <v>0</v>
      </c>
      <c r="P34" s="968">
        <v>0</v>
      </c>
      <c r="Q34" s="968">
        <v>0</v>
      </c>
      <c r="R34" s="968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968">
        <v>0</v>
      </c>
      <c r="I35" s="968">
        <v>0</v>
      </c>
      <c r="J35" s="968">
        <v>409.57</v>
      </c>
      <c r="K35" s="968">
        <v>709.9</v>
      </c>
      <c r="L35" s="968">
        <v>1018.159</v>
      </c>
      <c r="M35" s="968">
        <v>753</v>
      </c>
      <c r="N35" s="968">
        <v>1000</v>
      </c>
      <c r="O35" s="968">
        <v>1000</v>
      </c>
      <c r="P35" s="968">
        <v>1000</v>
      </c>
      <c r="Q35" s="968">
        <v>1000</v>
      </c>
      <c r="R35" s="968">
        <v>1000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968">
        <v>0</v>
      </c>
      <c r="I36" s="968">
        <v>0</v>
      </c>
      <c r="J36" s="968">
        <v>943.93</v>
      </c>
      <c r="K36" s="968">
        <v>969.95299999999997</v>
      </c>
      <c r="L36" s="968">
        <v>1329.172</v>
      </c>
      <c r="M36" s="968">
        <v>1122</v>
      </c>
      <c r="N36" s="968">
        <v>1000</v>
      </c>
      <c r="O36" s="968">
        <v>1000</v>
      </c>
      <c r="P36" s="968">
        <v>1000</v>
      </c>
      <c r="Q36" s="968">
        <v>1000</v>
      </c>
      <c r="R36" s="968">
        <v>1000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968">
        <v>0</v>
      </c>
      <c r="I37" s="968">
        <v>0</v>
      </c>
      <c r="J37" s="968">
        <v>-0.17299999999999999</v>
      </c>
      <c r="K37" s="968">
        <v>0</v>
      </c>
      <c r="L37" s="968">
        <v>0</v>
      </c>
      <c r="M37" s="968">
        <v>0</v>
      </c>
      <c r="N37" s="968">
        <v>0</v>
      </c>
      <c r="O37" s="968">
        <v>0</v>
      </c>
      <c r="P37" s="968">
        <v>0</v>
      </c>
      <c r="Q37" s="968">
        <v>0</v>
      </c>
      <c r="R37" s="968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967">
        <f>H39+H40</f>
        <v>0</v>
      </c>
      <c r="I38" s="967">
        <f t="shared" ref="I38:R38" si="9">I39+I40</f>
        <v>0</v>
      </c>
      <c r="J38" s="967">
        <f t="shared" si="9"/>
        <v>-61.670999999999999</v>
      </c>
      <c r="K38" s="967">
        <f t="shared" si="9"/>
        <v>0</v>
      </c>
      <c r="L38" s="967">
        <f t="shared" si="9"/>
        <v>0</v>
      </c>
      <c r="M38" s="967">
        <f t="shared" si="9"/>
        <v>0</v>
      </c>
      <c r="N38" s="967">
        <f t="shared" si="9"/>
        <v>0</v>
      </c>
      <c r="O38" s="967">
        <f t="shared" si="9"/>
        <v>0</v>
      </c>
      <c r="P38" s="967">
        <f t="shared" si="9"/>
        <v>0</v>
      </c>
      <c r="Q38" s="967">
        <f t="shared" si="9"/>
        <v>0</v>
      </c>
      <c r="R38" s="967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968">
        <v>0</v>
      </c>
      <c r="I39" s="968">
        <v>0</v>
      </c>
      <c r="J39" s="968">
        <v>0</v>
      </c>
      <c r="K39" s="968">
        <v>0</v>
      </c>
      <c r="L39" s="968">
        <v>0</v>
      </c>
      <c r="M39" s="968">
        <v>0</v>
      </c>
      <c r="N39" s="968">
        <v>0</v>
      </c>
      <c r="O39" s="968">
        <v>0</v>
      </c>
      <c r="P39" s="968">
        <v>0</v>
      </c>
      <c r="Q39" s="968">
        <v>0</v>
      </c>
      <c r="R39" s="968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968">
        <v>0</v>
      </c>
      <c r="I40" s="968">
        <v>0</v>
      </c>
      <c r="J40" s="968">
        <v>-61.670999999999999</v>
      </c>
      <c r="K40" s="968">
        <v>0</v>
      </c>
      <c r="L40" s="968">
        <v>0</v>
      </c>
      <c r="M40" s="968">
        <v>0</v>
      </c>
      <c r="N40" s="968">
        <v>0</v>
      </c>
      <c r="O40" s="968">
        <v>0</v>
      </c>
      <c r="P40" s="968">
        <v>0</v>
      </c>
      <c r="Q40" s="968">
        <v>0</v>
      </c>
      <c r="R40" s="968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967">
        <f>SUM(H42:H45)</f>
        <v>0</v>
      </c>
      <c r="I41" s="967">
        <f t="shared" ref="I41:R41" si="10">SUM(I42:I45)</f>
        <v>0</v>
      </c>
      <c r="J41" s="967">
        <f t="shared" si="10"/>
        <v>-1375.5509999999999</v>
      </c>
      <c r="K41" s="967">
        <f t="shared" si="10"/>
        <v>-1700.405</v>
      </c>
      <c r="L41" s="967">
        <f t="shared" si="10"/>
        <v>-2089.8809999999999</v>
      </c>
      <c r="M41" s="967">
        <f t="shared" si="10"/>
        <v>-2205</v>
      </c>
      <c r="N41" s="967">
        <f t="shared" si="10"/>
        <v>-1930</v>
      </c>
      <c r="O41" s="967">
        <f t="shared" si="10"/>
        <v>-1920</v>
      </c>
      <c r="P41" s="967">
        <f t="shared" si="10"/>
        <v>-1915</v>
      </c>
      <c r="Q41" s="967">
        <f t="shared" si="10"/>
        <v>-1910</v>
      </c>
      <c r="R41" s="967">
        <f t="shared" si="10"/>
        <v>-1905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968">
        <v>0</v>
      </c>
      <c r="I42" s="968">
        <v>0</v>
      </c>
      <c r="J42" s="968">
        <v>-718.32299999999998</v>
      </c>
      <c r="K42" s="968">
        <v>-962.29</v>
      </c>
      <c r="L42" s="968">
        <v>-1036.704</v>
      </c>
      <c r="M42" s="968">
        <v>-1028</v>
      </c>
      <c r="N42" s="968">
        <v>-900</v>
      </c>
      <c r="O42" s="968">
        <v>-900</v>
      </c>
      <c r="P42" s="968">
        <v>-900</v>
      </c>
      <c r="Q42" s="968">
        <v>-900</v>
      </c>
      <c r="R42" s="968">
        <v>-900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968">
        <v>0</v>
      </c>
      <c r="I43" s="968">
        <v>0</v>
      </c>
      <c r="J43" s="968">
        <v>-611.93200000000002</v>
      </c>
      <c r="K43" s="968">
        <v>-683.88499999999999</v>
      </c>
      <c r="L43" s="968">
        <v>-1004.495</v>
      </c>
      <c r="M43" s="968">
        <v>-1144</v>
      </c>
      <c r="N43" s="968">
        <v>-1000</v>
      </c>
      <c r="O43" s="968">
        <v>-1000</v>
      </c>
      <c r="P43" s="968">
        <v>-1000</v>
      </c>
      <c r="Q43" s="968">
        <v>-1000</v>
      </c>
      <c r="R43" s="968">
        <v>-1000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968">
        <v>0</v>
      </c>
      <c r="I44" s="968">
        <v>0</v>
      </c>
      <c r="J44" s="968">
        <v>-3.8980000000000001</v>
      </c>
      <c r="K44" s="968">
        <v>-11.769</v>
      </c>
      <c r="L44" s="968">
        <v>-2.492</v>
      </c>
      <c r="M44" s="968">
        <v>0</v>
      </c>
      <c r="N44" s="968">
        <v>0</v>
      </c>
      <c r="O44" s="968">
        <v>0</v>
      </c>
      <c r="P44" s="968">
        <v>0</v>
      </c>
      <c r="Q44" s="968">
        <v>0</v>
      </c>
      <c r="R44" s="968">
        <v>0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968">
        <v>0</v>
      </c>
      <c r="I45" s="968">
        <v>0</v>
      </c>
      <c r="J45" s="968">
        <v>-41.398000000000003</v>
      </c>
      <c r="K45" s="968">
        <v>-42.460999999999999</v>
      </c>
      <c r="L45" s="968">
        <v>-46.19</v>
      </c>
      <c r="M45" s="968">
        <v>-33</v>
      </c>
      <c r="N45" s="968">
        <v>-30</v>
      </c>
      <c r="O45" s="968">
        <v>-20</v>
      </c>
      <c r="P45" s="968">
        <v>-15</v>
      </c>
      <c r="Q45" s="968">
        <v>-10</v>
      </c>
      <c r="R45" s="968">
        <v>-5</v>
      </c>
    </row>
    <row r="46" spans="1:18" x14ac:dyDescent="0.2">
      <c r="B46" s="2" t="s">
        <v>107</v>
      </c>
      <c r="G46" s="18" t="s">
        <v>108</v>
      </c>
      <c r="H46" s="967">
        <f>H33+H38+H41</f>
        <v>0</v>
      </c>
      <c r="I46" s="967">
        <f t="shared" ref="I46:R46" si="11">I33+I38+I41</f>
        <v>0</v>
      </c>
      <c r="J46" s="967">
        <f t="shared" si="11"/>
        <v>-83.894999999999982</v>
      </c>
      <c r="K46" s="967">
        <f t="shared" si="11"/>
        <v>-20.551999999999907</v>
      </c>
      <c r="L46" s="967">
        <f t="shared" si="11"/>
        <v>257.45000000000027</v>
      </c>
      <c r="M46" s="967">
        <f t="shared" si="11"/>
        <v>-330</v>
      </c>
      <c r="N46" s="967">
        <f t="shared" si="11"/>
        <v>70</v>
      </c>
      <c r="O46" s="967">
        <f t="shared" si="11"/>
        <v>80</v>
      </c>
      <c r="P46" s="967">
        <f t="shared" si="11"/>
        <v>85</v>
      </c>
      <c r="Q46" s="967">
        <f t="shared" si="11"/>
        <v>90</v>
      </c>
      <c r="R46" s="967">
        <f t="shared" si="11"/>
        <v>95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968">
        <v>0</v>
      </c>
      <c r="I47" s="968">
        <v>0</v>
      </c>
      <c r="J47" s="968">
        <v>-0.10100000000000001</v>
      </c>
      <c r="K47" s="968">
        <v>0</v>
      </c>
      <c r="L47" s="968">
        <v>0.54200000000000004</v>
      </c>
      <c r="M47" s="968">
        <v>0</v>
      </c>
      <c r="N47" s="968">
        <v>0</v>
      </c>
      <c r="O47" s="968">
        <v>0</v>
      </c>
      <c r="P47" s="968">
        <v>0</v>
      </c>
      <c r="Q47" s="968">
        <v>0</v>
      </c>
      <c r="R47" s="968">
        <v>0</v>
      </c>
    </row>
    <row r="48" spans="1:18" x14ac:dyDescent="0.2">
      <c r="B48" s="2" t="s">
        <v>111</v>
      </c>
      <c r="G48" s="18" t="s">
        <v>112</v>
      </c>
      <c r="H48" s="967">
        <f>H46+H47</f>
        <v>0</v>
      </c>
      <c r="I48" s="967">
        <f t="shared" ref="I48:R48" si="12">I46+I47</f>
        <v>0</v>
      </c>
      <c r="J48" s="967">
        <f t="shared" si="12"/>
        <v>-83.995999999999981</v>
      </c>
      <c r="K48" s="967">
        <f t="shared" si="12"/>
        <v>-20.551999999999907</v>
      </c>
      <c r="L48" s="967">
        <f t="shared" si="12"/>
        <v>257.99200000000025</v>
      </c>
      <c r="M48" s="967">
        <f t="shared" si="12"/>
        <v>-330</v>
      </c>
      <c r="N48" s="967">
        <f t="shared" si="12"/>
        <v>70</v>
      </c>
      <c r="O48" s="967">
        <f t="shared" si="12"/>
        <v>80</v>
      </c>
      <c r="P48" s="967">
        <f t="shared" si="12"/>
        <v>85</v>
      </c>
      <c r="Q48" s="967">
        <f t="shared" si="12"/>
        <v>90</v>
      </c>
      <c r="R48" s="967">
        <f t="shared" si="12"/>
        <v>95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968">
        <v>0</v>
      </c>
      <c r="I49" s="968">
        <v>0</v>
      </c>
      <c r="J49" s="968">
        <v>0</v>
      </c>
      <c r="K49" s="968">
        <v>0</v>
      </c>
      <c r="L49" s="968">
        <v>0</v>
      </c>
      <c r="M49" s="968">
        <v>0</v>
      </c>
      <c r="N49" s="968">
        <v>0</v>
      </c>
      <c r="O49" s="968">
        <v>0</v>
      </c>
      <c r="P49" s="968">
        <v>0</v>
      </c>
      <c r="Q49" s="968">
        <v>0</v>
      </c>
      <c r="R49" s="968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968">
        <v>0</v>
      </c>
      <c r="I50" s="968">
        <v>0</v>
      </c>
      <c r="J50" s="968">
        <v>0</v>
      </c>
      <c r="K50" s="968">
        <v>0</v>
      </c>
      <c r="L50" s="968">
        <v>0</v>
      </c>
      <c r="M50" s="968">
        <v>0</v>
      </c>
      <c r="N50" s="968">
        <v>0</v>
      </c>
      <c r="O50" s="968">
        <v>0</v>
      </c>
      <c r="P50" s="968">
        <v>0</v>
      </c>
      <c r="Q50" s="968">
        <v>0</v>
      </c>
      <c r="R50" s="968">
        <v>0</v>
      </c>
    </row>
    <row r="51" spans="1:18" x14ac:dyDescent="0.2">
      <c r="B51" s="2" t="s">
        <v>117</v>
      </c>
      <c r="G51" s="18" t="s">
        <v>118</v>
      </c>
      <c r="H51" s="967">
        <f>H48+H49+H50</f>
        <v>0</v>
      </c>
      <c r="I51" s="967">
        <f t="shared" ref="I51:M51" si="13">I48+I49+I50</f>
        <v>0</v>
      </c>
      <c r="J51" s="967">
        <f t="shared" si="13"/>
        <v>-83.995999999999981</v>
      </c>
      <c r="K51" s="967">
        <f t="shared" si="13"/>
        <v>-20.551999999999907</v>
      </c>
      <c r="L51" s="967">
        <f t="shared" si="13"/>
        <v>257.99200000000025</v>
      </c>
      <c r="M51" s="967">
        <f t="shared" si="13"/>
        <v>-330</v>
      </c>
      <c r="N51" s="967">
        <v>-260</v>
      </c>
      <c r="O51" s="967">
        <v>-180</v>
      </c>
      <c r="P51" s="967">
        <v>-85</v>
      </c>
      <c r="Q51" s="967">
        <v>5</v>
      </c>
      <c r="R51" s="967">
        <v>100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971">
        <f>H30-H51</f>
        <v>0</v>
      </c>
      <c r="I52" s="971">
        <f t="shared" ref="I52:R52" si="14">I30-I51</f>
        <v>0</v>
      </c>
      <c r="J52" s="971">
        <f t="shared" si="14"/>
        <v>0</v>
      </c>
      <c r="K52" s="971">
        <f t="shared" si="14"/>
        <v>-9.2370555648813024E-14</v>
      </c>
      <c r="L52" s="971">
        <f t="shared" si="14"/>
        <v>-1.0000000002605702E-3</v>
      </c>
      <c r="M52" s="971">
        <f t="shared" si="14"/>
        <v>0</v>
      </c>
      <c r="N52" s="971">
        <f t="shared" si="14"/>
        <v>0</v>
      </c>
      <c r="O52" s="971">
        <f t="shared" si="14"/>
        <v>0</v>
      </c>
      <c r="P52" s="971">
        <f t="shared" si="14"/>
        <v>0</v>
      </c>
      <c r="Q52" s="971">
        <f t="shared" si="14"/>
        <v>0</v>
      </c>
      <c r="R52" s="971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968">
        <v>0</v>
      </c>
      <c r="I54" s="968">
        <v>0</v>
      </c>
      <c r="J54" s="968">
        <v>50</v>
      </c>
      <c r="K54" s="968">
        <v>56</v>
      </c>
      <c r="L54" s="968">
        <v>61</v>
      </c>
      <c r="M54" s="968">
        <v>63</v>
      </c>
      <c r="N54" s="968">
        <v>0</v>
      </c>
      <c r="O54" s="968">
        <v>0</v>
      </c>
      <c r="P54" s="968">
        <v>0</v>
      </c>
      <c r="Q54" s="968">
        <v>0</v>
      </c>
      <c r="R54" s="968">
        <v>0</v>
      </c>
    </row>
    <row r="55" spans="1:18" ht="12" x14ac:dyDescent="0.2">
      <c r="E55" s="20" t="s">
        <v>14</v>
      </c>
      <c r="G55" s="46" t="s">
        <v>122</v>
      </c>
      <c r="H55" s="968"/>
      <c r="I55" s="968"/>
      <c r="J55" s="968"/>
      <c r="K55" s="968"/>
      <c r="L55" s="973"/>
      <c r="M55" s="973"/>
      <c r="N55" s="973"/>
      <c r="O55" s="973"/>
      <c r="P55" s="973"/>
      <c r="Q55" s="973"/>
      <c r="R55" s="973"/>
    </row>
    <row r="57" spans="1:18" x14ac:dyDescent="0.2">
      <c r="D57" s="49" t="s">
        <v>123</v>
      </c>
      <c r="E57" s="50" t="s">
        <v>3</v>
      </c>
      <c r="F57" s="17"/>
      <c r="G57" s="964" t="s">
        <v>124</v>
      </c>
      <c r="H57" s="972">
        <f>H32</f>
        <v>2011</v>
      </c>
      <c r="I57" s="972">
        <f t="shared" ref="I57:R57" si="15">I32</f>
        <v>2012</v>
      </c>
      <c r="J57" s="972">
        <f t="shared" si="15"/>
        <v>2013</v>
      </c>
      <c r="K57" s="972">
        <f t="shared" si="15"/>
        <v>2014</v>
      </c>
      <c r="L57" s="972">
        <f t="shared" si="15"/>
        <v>2015</v>
      </c>
      <c r="M57" s="972">
        <f t="shared" si="15"/>
        <v>2016</v>
      </c>
      <c r="N57" s="972">
        <f t="shared" si="15"/>
        <v>2017</v>
      </c>
      <c r="O57" s="972">
        <f t="shared" si="15"/>
        <v>2018</v>
      </c>
      <c r="P57" s="972">
        <f t="shared" si="15"/>
        <v>2019</v>
      </c>
      <c r="Q57" s="972">
        <f t="shared" si="15"/>
        <v>2020</v>
      </c>
      <c r="R57" s="972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966" t="s">
        <v>128</v>
      </c>
      <c r="H58" s="968">
        <v>0</v>
      </c>
      <c r="I58" s="968">
        <v>0</v>
      </c>
      <c r="J58" s="968">
        <v>-8.8469999999999995</v>
      </c>
      <c r="K58" s="968">
        <v>-80.849999999999994</v>
      </c>
      <c r="L58" s="968">
        <v>-10.983000000000001</v>
      </c>
      <c r="M58" s="968">
        <v>-14</v>
      </c>
      <c r="N58" s="968">
        <v>-13</v>
      </c>
      <c r="O58" s="968">
        <v>0</v>
      </c>
      <c r="P58" s="968">
        <v>0</v>
      </c>
      <c r="Q58" s="968">
        <v>0</v>
      </c>
      <c r="R58" s="968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968">
        <v>0</v>
      </c>
      <c r="I59" s="968">
        <v>0</v>
      </c>
      <c r="J59" s="968">
        <v>0.377</v>
      </c>
      <c r="K59" s="968">
        <v>0</v>
      </c>
      <c r="L59" s="968">
        <v>0</v>
      </c>
      <c r="M59" s="968">
        <v>0</v>
      </c>
      <c r="N59" s="968">
        <v>0</v>
      </c>
      <c r="O59" s="968">
        <v>0</v>
      </c>
      <c r="P59" s="968">
        <v>0</v>
      </c>
      <c r="Q59" s="968">
        <v>0</v>
      </c>
      <c r="R59" s="968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968">
        <v>0</v>
      </c>
      <c r="I60" s="968">
        <v>0</v>
      </c>
      <c r="J60" s="968">
        <v>80</v>
      </c>
      <c r="K60" s="968">
        <v>0</v>
      </c>
      <c r="L60" s="968">
        <v>0</v>
      </c>
      <c r="M60" s="968">
        <v>0</v>
      </c>
      <c r="N60" s="968">
        <v>0</v>
      </c>
      <c r="O60" s="968">
        <v>0</v>
      </c>
      <c r="P60" s="968">
        <v>0</v>
      </c>
      <c r="Q60" s="968">
        <v>0</v>
      </c>
      <c r="R60" s="968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968">
        <v>0</v>
      </c>
      <c r="I61" s="968">
        <v>0</v>
      </c>
      <c r="J61" s="968">
        <v>0</v>
      </c>
      <c r="K61" s="968">
        <v>0</v>
      </c>
      <c r="L61" s="968">
        <v>0</v>
      </c>
      <c r="M61" s="968">
        <v>0</v>
      </c>
      <c r="N61" s="968">
        <v>0</v>
      </c>
      <c r="O61" s="968">
        <v>0</v>
      </c>
      <c r="P61" s="968">
        <v>0</v>
      </c>
      <c r="Q61" s="968">
        <v>0</v>
      </c>
      <c r="R61" s="968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968">
        <v>0</v>
      </c>
      <c r="I62" s="968">
        <v>0</v>
      </c>
      <c r="J62" s="968">
        <v>0</v>
      </c>
      <c r="K62" s="968">
        <v>0</v>
      </c>
      <c r="L62" s="968">
        <v>0</v>
      </c>
      <c r="M62" s="968">
        <v>0</v>
      </c>
      <c r="N62" s="968">
        <v>0</v>
      </c>
      <c r="O62" s="968">
        <v>0</v>
      </c>
      <c r="P62" s="968">
        <v>0</v>
      </c>
      <c r="Q62" s="968">
        <v>0</v>
      </c>
      <c r="R62" s="968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968">
        <v>0</v>
      </c>
      <c r="I63" s="968">
        <v>0</v>
      </c>
      <c r="J63" s="968">
        <v>0</v>
      </c>
      <c r="K63" s="968">
        <v>0</v>
      </c>
      <c r="L63" s="968">
        <v>0</v>
      </c>
      <c r="M63" s="968">
        <v>0</v>
      </c>
      <c r="N63" s="968">
        <v>0</v>
      </c>
      <c r="O63" s="968">
        <v>0</v>
      </c>
      <c r="P63" s="968">
        <v>0</v>
      </c>
      <c r="Q63" s="968">
        <v>0</v>
      </c>
      <c r="R63" s="968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968">
        <v>0</v>
      </c>
      <c r="I64" s="968">
        <v>0</v>
      </c>
      <c r="J64" s="968">
        <v>0</v>
      </c>
      <c r="K64" s="968">
        <v>0</v>
      </c>
      <c r="L64" s="968">
        <v>0</v>
      </c>
      <c r="M64" s="968">
        <v>0</v>
      </c>
      <c r="N64" s="968">
        <v>0</v>
      </c>
      <c r="O64" s="968">
        <v>0</v>
      </c>
      <c r="P64" s="968">
        <v>0</v>
      </c>
      <c r="Q64" s="968">
        <v>0</v>
      </c>
      <c r="R64" s="968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968">
        <v>0</v>
      </c>
      <c r="I65" s="968">
        <v>0</v>
      </c>
      <c r="J65" s="968">
        <v>0</v>
      </c>
      <c r="K65" s="968">
        <v>0</v>
      </c>
      <c r="L65" s="968">
        <v>0</v>
      </c>
      <c r="M65" s="968">
        <v>0</v>
      </c>
      <c r="N65" s="968">
        <v>0</v>
      </c>
      <c r="O65" s="968">
        <v>0</v>
      </c>
      <c r="P65" s="968">
        <v>0</v>
      </c>
      <c r="Q65" s="968">
        <v>0</v>
      </c>
      <c r="R65" s="968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968">
        <v>0</v>
      </c>
      <c r="I66" s="968">
        <v>0</v>
      </c>
      <c r="J66" s="968">
        <v>0</v>
      </c>
      <c r="K66" s="968">
        <v>0</v>
      </c>
      <c r="L66" s="968">
        <v>0</v>
      </c>
      <c r="M66" s="968">
        <v>0</v>
      </c>
      <c r="N66" s="968">
        <v>0</v>
      </c>
      <c r="O66" s="968">
        <v>0</v>
      </c>
      <c r="P66" s="968">
        <v>0</v>
      </c>
      <c r="Q66" s="968">
        <v>0</v>
      </c>
      <c r="R66" s="968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968">
        <v>0</v>
      </c>
      <c r="I67" s="968">
        <v>0</v>
      </c>
      <c r="J67" s="968">
        <v>0</v>
      </c>
      <c r="K67" s="968">
        <v>0</v>
      </c>
      <c r="L67" s="968">
        <v>0</v>
      </c>
      <c r="M67" s="968">
        <v>0</v>
      </c>
      <c r="N67" s="968">
        <v>0</v>
      </c>
      <c r="O67" s="968">
        <v>0</v>
      </c>
      <c r="P67" s="968">
        <v>0</v>
      </c>
      <c r="Q67" s="968">
        <v>0</v>
      </c>
      <c r="R67" s="968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968">
        <v>0</v>
      </c>
      <c r="I68" s="968">
        <v>0</v>
      </c>
      <c r="J68" s="968">
        <v>0</v>
      </c>
      <c r="K68" s="968">
        <v>0</v>
      </c>
      <c r="L68" s="968">
        <v>0</v>
      </c>
      <c r="M68" s="968">
        <v>0</v>
      </c>
      <c r="N68" s="968">
        <v>0</v>
      </c>
      <c r="O68" s="968">
        <v>0</v>
      </c>
      <c r="P68" s="968">
        <v>0</v>
      </c>
      <c r="Q68" s="968">
        <v>0</v>
      </c>
      <c r="R68" s="968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968">
        <v>0</v>
      </c>
      <c r="I69" s="968">
        <v>0</v>
      </c>
      <c r="J69" s="968">
        <v>0</v>
      </c>
      <c r="K69" s="968">
        <v>0</v>
      </c>
      <c r="L69" s="968">
        <v>0</v>
      </c>
      <c r="M69" s="968">
        <v>0</v>
      </c>
      <c r="N69" s="968">
        <v>0</v>
      </c>
      <c r="O69" s="968">
        <v>0</v>
      </c>
      <c r="P69" s="968">
        <v>0</v>
      </c>
      <c r="Q69" s="968">
        <v>0</v>
      </c>
      <c r="R69" s="968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968">
        <v>0</v>
      </c>
      <c r="I70" s="968">
        <v>0.156</v>
      </c>
      <c r="J70" s="968">
        <v>3.1E-2</v>
      </c>
      <c r="K70" s="968">
        <v>0.318</v>
      </c>
      <c r="L70" s="968">
        <v>0.27800000000000002</v>
      </c>
      <c r="M70" s="968">
        <v>0</v>
      </c>
      <c r="N70" s="968">
        <v>0</v>
      </c>
      <c r="O70" s="968">
        <v>0</v>
      </c>
      <c r="P70" s="968">
        <v>0</v>
      </c>
      <c r="Q70" s="968">
        <v>0</v>
      </c>
      <c r="R70" s="968">
        <v>0</v>
      </c>
    </row>
    <row r="71" spans="2:18" x14ac:dyDescent="0.2">
      <c r="B71" s="51" t="s">
        <v>162</v>
      </c>
      <c r="D71" s="16"/>
      <c r="E71" s="22"/>
      <c r="F71" s="22"/>
      <c r="G71" s="974" t="s">
        <v>163</v>
      </c>
      <c r="H71" s="967">
        <f t="shared" ref="H71:R71" si="16">SUM(H58:H70)</f>
        <v>0</v>
      </c>
      <c r="I71" s="967">
        <f t="shared" si="16"/>
        <v>0.156</v>
      </c>
      <c r="J71" s="967">
        <f t="shared" si="16"/>
        <v>71.561000000000007</v>
      </c>
      <c r="K71" s="967">
        <f t="shared" si="16"/>
        <v>-80.531999999999996</v>
      </c>
      <c r="L71" s="967">
        <f t="shared" si="16"/>
        <v>-10.705</v>
      </c>
      <c r="M71" s="967">
        <f t="shared" si="16"/>
        <v>-14</v>
      </c>
      <c r="N71" s="967">
        <f t="shared" si="16"/>
        <v>-13</v>
      </c>
      <c r="O71" s="967">
        <f t="shared" si="16"/>
        <v>0</v>
      </c>
      <c r="P71" s="967">
        <f t="shared" si="16"/>
        <v>0</v>
      </c>
      <c r="Q71" s="967">
        <f t="shared" si="16"/>
        <v>0</v>
      </c>
      <c r="R71" s="967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964" t="s">
        <v>164</v>
      </c>
      <c r="H73" s="972">
        <f t="shared" ref="H73:R73" si="17">H57</f>
        <v>2011</v>
      </c>
      <c r="I73" s="972">
        <f t="shared" si="17"/>
        <v>2012</v>
      </c>
      <c r="J73" s="972">
        <f t="shared" si="17"/>
        <v>2013</v>
      </c>
      <c r="K73" s="972">
        <f t="shared" si="17"/>
        <v>2014</v>
      </c>
      <c r="L73" s="972">
        <f t="shared" si="17"/>
        <v>2015</v>
      </c>
      <c r="M73" s="972">
        <f t="shared" si="17"/>
        <v>2016</v>
      </c>
      <c r="N73" s="972">
        <f t="shared" si="17"/>
        <v>2017</v>
      </c>
      <c r="O73" s="972">
        <f t="shared" si="17"/>
        <v>2018</v>
      </c>
      <c r="P73" s="972">
        <f t="shared" si="17"/>
        <v>2019</v>
      </c>
      <c r="Q73" s="972">
        <f t="shared" si="17"/>
        <v>2020</v>
      </c>
      <c r="R73" s="972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966" t="s">
        <v>167</v>
      </c>
      <c r="H74" s="968">
        <v>0</v>
      </c>
      <c r="I74" s="968">
        <v>0</v>
      </c>
      <c r="J74" s="968">
        <v>0</v>
      </c>
      <c r="K74" s="968">
        <v>0</v>
      </c>
      <c r="L74" s="968">
        <v>0</v>
      </c>
      <c r="M74" s="968">
        <v>0</v>
      </c>
      <c r="N74" s="968">
        <v>0</v>
      </c>
      <c r="O74" s="968">
        <v>0</v>
      </c>
      <c r="P74" s="968">
        <v>0</v>
      </c>
      <c r="Q74" s="968">
        <v>0</v>
      </c>
      <c r="R74" s="968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968">
        <v>0</v>
      </c>
      <c r="I75" s="968">
        <v>0</v>
      </c>
      <c r="J75" s="968">
        <v>0</v>
      </c>
      <c r="K75" s="968">
        <v>0</v>
      </c>
      <c r="L75" s="968">
        <v>0</v>
      </c>
      <c r="M75" s="968">
        <v>0</v>
      </c>
      <c r="N75" s="968">
        <v>0</v>
      </c>
      <c r="O75" s="968">
        <v>0</v>
      </c>
      <c r="P75" s="968">
        <v>0</v>
      </c>
      <c r="Q75" s="968">
        <v>0</v>
      </c>
      <c r="R75" s="968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968">
        <v>0</v>
      </c>
      <c r="I76" s="968">
        <v>0</v>
      </c>
      <c r="J76" s="968">
        <v>0</v>
      </c>
      <c r="K76" s="968">
        <v>0</v>
      </c>
      <c r="L76" s="968">
        <v>0</v>
      </c>
      <c r="M76" s="968">
        <v>0</v>
      </c>
      <c r="N76" s="968">
        <v>0</v>
      </c>
      <c r="O76" s="968">
        <v>0</v>
      </c>
      <c r="P76" s="968">
        <v>0</v>
      </c>
      <c r="Q76" s="968">
        <v>0</v>
      </c>
      <c r="R76" s="968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968">
        <v>0</v>
      </c>
      <c r="I77" s="968">
        <v>0</v>
      </c>
      <c r="J77" s="968">
        <v>0</v>
      </c>
      <c r="K77" s="968">
        <v>0</v>
      </c>
      <c r="L77" s="968">
        <v>0</v>
      </c>
      <c r="M77" s="968">
        <v>0</v>
      </c>
      <c r="N77" s="968">
        <v>0</v>
      </c>
      <c r="O77" s="968">
        <v>0</v>
      </c>
      <c r="P77" s="968">
        <v>0</v>
      </c>
      <c r="Q77" s="968">
        <v>0</v>
      </c>
      <c r="R77" s="968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968">
        <v>0</v>
      </c>
      <c r="I78" s="968">
        <v>0</v>
      </c>
      <c r="J78" s="968">
        <v>0</v>
      </c>
      <c r="K78" s="968">
        <v>0</v>
      </c>
      <c r="L78" s="968">
        <v>0</v>
      </c>
      <c r="M78" s="968">
        <v>0</v>
      </c>
      <c r="N78" s="968">
        <v>0</v>
      </c>
      <c r="O78" s="968">
        <v>0</v>
      </c>
      <c r="P78" s="968">
        <v>0</v>
      </c>
      <c r="Q78" s="968">
        <v>0</v>
      </c>
      <c r="R78" s="968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968">
        <v>0</v>
      </c>
      <c r="I79" s="968">
        <v>0</v>
      </c>
      <c r="J79" s="968">
        <v>-0.10100000000000001</v>
      </c>
      <c r="K79" s="968">
        <v>0</v>
      </c>
      <c r="L79" s="968">
        <v>-5.0999999999999997E-2</v>
      </c>
      <c r="M79" s="968">
        <v>0</v>
      </c>
      <c r="N79" s="968">
        <v>0</v>
      </c>
      <c r="O79" s="968">
        <v>0</v>
      </c>
      <c r="P79" s="968">
        <v>0</v>
      </c>
      <c r="Q79" s="968">
        <v>0</v>
      </c>
      <c r="R79" s="968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968">
        <v>0</v>
      </c>
      <c r="I80" s="968">
        <v>0</v>
      </c>
      <c r="J80" s="968">
        <v>0</v>
      </c>
      <c r="K80" s="968">
        <v>0</v>
      </c>
      <c r="L80" s="968">
        <v>0</v>
      </c>
      <c r="M80" s="968">
        <v>0</v>
      </c>
      <c r="N80" s="968">
        <v>0</v>
      </c>
      <c r="O80" s="968">
        <v>0</v>
      </c>
      <c r="P80" s="968">
        <v>0</v>
      </c>
      <c r="Q80" s="968">
        <v>0</v>
      </c>
      <c r="R80" s="968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968">
        <v>0</v>
      </c>
      <c r="I81" s="968">
        <v>0</v>
      </c>
      <c r="J81" s="968">
        <v>0</v>
      </c>
      <c r="K81" s="968">
        <v>0</v>
      </c>
      <c r="L81" s="968">
        <v>0</v>
      </c>
      <c r="M81" s="968">
        <v>0</v>
      </c>
      <c r="N81" s="968">
        <v>0</v>
      </c>
      <c r="O81" s="968">
        <v>0</v>
      </c>
      <c r="P81" s="968">
        <v>0</v>
      </c>
      <c r="Q81" s="968">
        <v>0</v>
      </c>
      <c r="R81" s="968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968">
        <v>0</v>
      </c>
      <c r="I82" s="968">
        <v>0</v>
      </c>
      <c r="J82" s="968">
        <v>0</v>
      </c>
      <c r="K82" s="968">
        <v>0</v>
      </c>
      <c r="L82" s="968">
        <v>0</v>
      </c>
      <c r="M82" s="968">
        <v>0</v>
      </c>
      <c r="N82" s="968">
        <v>0</v>
      </c>
      <c r="O82" s="968">
        <v>0</v>
      </c>
      <c r="P82" s="968">
        <v>0</v>
      </c>
      <c r="Q82" s="968">
        <v>0</v>
      </c>
      <c r="R82" s="968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968">
        <v>0</v>
      </c>
      <c r="I83" s="968">
        <v>0</v>
      </c>
      <c r="J83" s="968">
        <v>0</v>
      </c>
      <c r="K83" s="968">
        <v>0</v>
      </c>
      <c r="L83" s="968">
        <v>0</v>
      </c>
      <c r="M83" s="968">
        <v>0</v>
      </c>
      <c r="N83" s="968">
        <v>0</v>
      </c>
      <c r="O83" s="968">
        <v>0</v>
      </c>
      <c r="P83" s="968">
        <v>0</v>
      </c>
      <c r="Q83" s="968">
        <v>0</v>
      </c>
      <c r="R83" s="968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968">
        <v>0</v>
      </c>
      <c r="I84" s="968">
        <v>0</v>
      </c>
      <c r="J84" s="968">
        <v>0</v>
      </c>
      <c r="K84" s="968">
        <v>0</v>
      </c>
      <c r="L84" s="968">
        <v>0</v>
      </c>
      <c r="M84" s="968">
        <v>0</v>
      </c>
      <c r="N84" s="968">
        <v>0</v>
      </c>
      <c r="O84" s="968">
        <v>0</v>
      </c>
      <c r="P84" s="968">
        <v>0</v>
      </c>
      <c r="Q84" s="968">
        <v>0</v>
      </c>
      <c r="R84" s="968">
        <v>0</v>
      </c>
    </row>
    <row r="85" spans="1:18" x14ac:dyDescent="0.2">
      <c r="B85" s="2" t="s">
        <v>192</v>
      </c>
      <c r="G85" s="186" t="s">
        <v>163</v>
      </c>
      <c r="H85" s="967">
        <f t="shared" ref="H85:R85" si="18">SUM(H74:H84)</f>
        <v>0</v>
      </c>
      <c r="I85" s="967">
        <f t="shared" si="18"/>
        <v>0</v>
      </c>
      <c r="J85" s="967">
        <f t="shared" si="18"/>
        <v>-0.10100000000000001</v>
      </c>
      <c r="K85" s="967">
        <f t="shared" si="18"/>
        <v>0</v>
      </c>
      <c r="L85" s="967">
        <f t="shared" si="18"/>
        <v>-5.0999999999999997E-2</v>
      </c>
      <c r="M85" s="967">
        <f t="shared" si="18"/>
        <v>0</v>
      </c>
      <c r="N85" s="967">
        <f t="shared" si="18"/>
        <v>0</v>
      </c>
      <c r="O85" s="967">
        <f t="shared" si="18"/>
        <v>0</v>
      </c>
      <c r="P85" s="967">
        <f t="shared" si="18"/>
        <v>0</v>
      </c>
      <c r="Q85" s="967">
        <f t="shared" si="18"/>
        <v>0</v>
      </c>
      <c r="R85" s="967">
        <f t="shared" si="18"/>
        <v>0</v>
      </c>
    </row>
    <row r="87" spans="1:18" x14ac:dyDescent="0.2">
      <c r="A87" s="23" t="s">
        <v>0</v>
      </c>
      <c r="D87" s="1307" t="s">
        <v>193</v>
      </c>
      <c r="E87" s="1308"/>
      <c r="G87" s="964" t="s">
        <v>194</v>
      </c>
      <c r="H87" s="972">
        <f t="shared" ref="H87:R87" si="19">H32</f>
        <v>2011</v>
      </c>
      <c r="I87" s="972">
        <f t="shared" si="19"/>
        <v>2012</v>
      </c>
      <c r="J87" s="972">
        <f t="shared" si="19"/>
        <v>2013</v>
      </c>
      <c r="K87" s="972">
        <f t="shared" si="19"/>
        <v>2014</v>
      </c>
      <c r="L87" s="972">
        <f t="shared" si="19"/>
        <v>2015</v>
      </c>
      <c r="M87" s="972">
        <f t="shared" si="19"/>
        <v>2016</v>
      </c>
      <c r="N87" s="972">
        <f t="shared" si="19"/>
        <v>2017</v>
      </c>
      <c r="O87" s="972">
        <f t="shared" si="19"/>
        <v>2018</v>
      </c>
      <c r="P87" s="972">
        <f t="shared" si="19"/>
        <v>2019</v>
      </c>
      <c r="Q87" s="972">
        <f t="shared" si="19"/>
        <v>2020</v>
      </c>
      <c r="R87" s="972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975"/>
      <c r="G88" s="966" t="s">
        <v>198</v>
      </c>
      <c r="H88" s="967">
        <f>H46+H71</f>
        <v>0</v>
      </c>
      <c r="I88" s="967">
        <f t="shared" ref="I88:R88" si="20">I46+I71</f>
        <v>0.156</v>
      </c>
      <c r="J88" s="967">
        <f t="shared" si="20"/>
        <v>-12.333999999999975</v>
      </c>
      <c r="K88" s="967">
        <f t="shared" si="20"/>
        <v>-101.0839999999999</v>
      </c>
      <c r="L88" s="967">
        <f t="shared" si="20"/>
        <v>246.74500000000026</v>
      </c>
      <c r="M88" s="967">
        <f t="shared" si="20"/>
        <v>-344</v>
      </c>
      <c r="N88" s="967">
        <f t="shared" si="20"/>
        <v>57</v>
      </c>
      <c r="O88" s="967">
        <f t="shared" si="20"/>
        <v>80</v>
      </c>
      <c r="P88" s="967">
        <f t="shared" si="20"/>
        <v>85</v>
      </c>
      <c r="Q88" s="967">
        <f t="shared" si="20"/>
        <v>90</v>
      </c>
      <c r="R88" s="967">
        <f t="shared" si="20"/>
        <v>95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975"/>
      <c r="G89" s="966" t="s">
        <v>202</v>
      </c>
      <c r="H89" s="976">
        <f t="shared" ref="H89:R89" si="21">H33+H38+H41-H45</f>
        <v>0</v>
      </c>
      <c r="I89" s="967">
        <f t="shared" si="21"/>
        <v>0</v>
      </c>
      <c r="J89" s="967">
        <f t="shared" si="21"/>
        <v>-42.496999999999979</v>
      </c>
      <c r="K89" s="967">
        <f t="shared" si="21"/>
        <v>21.909000000000091</v>
      </c>
      <c r="L89" s="967">
        <f t="shared" si="21"/>
        <v>303.64000000000027</v>
      </c>
      <c r="M89" s="967">
        <f t="shared" si="21"/>
        <v>-297</v>
      </c>
      <c r="N89" s="967">
        <f t="shared" si="21"/>
        <v>100</v>
      </c>
      <c r="O89" s="967">
        <f t="shared" si="21"/>
        <v>100</v>
      </c>
      <c r="P89" s="967">
        <f t="shared" si="21"/>
        <v>100</v>
      </c>
      <c r="Q89" s="967">
        <f t="shared" si="21"/>
        <v>100</v>
      </c>
      <c r="R89" s="967">
        <f t="shared" si="21"/>
        <v>100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977">
        <v>0</v>
      </c>
      <c r="G90" s="186" t="s">
        <v>206</v>
      </c>
      <c r="H90" s="978" t="e">
        <f t="shared" ref="H90:R90" si="22">H89/H33</f>
        <v>#DIV/0!</v>
      </c>
      <c r="I90" s="979" t="e">
        <f t="shared" si="22"/>
        <v>#DIV/0!</v>
      </c>
      <c r="J90" s="979">
        <f t="shared" si="22"/>
        <v>-3.1401871092500172E-2</v>
      </c>
      <c r="K90" s="979">
        <f t="shared" si="22"/>
        <v>1.3042212622175923E-2</v>
      </c>
      <c r="L90" s="979">
        <f t="shared" si="22"/>
        <v>0.12935542537460643</v>
      </c>
      <c r="M90" s="979">
        <f t="shared" si="22"/>
        <v>-0.15840000000000001</v>
      </c>
      <c r="N90" s="979">
        <f t="shared" si="22"/>
        <v>0.05</v>
      </c>
      <c r="O90" s="979">
        <f t="shared" si="22"/>
        <v>0.05</v>
      </c>
      <c r="P90" s="979">
        <f t="shared" si="22"/>
        <v>0.05</v>
      </c>
      <c r="Q90" s="979">
        <f t="shared" si="22"/>
        <v>0.05</v>
      </c>
      <c r="R90" s="979">
        <f t="shared" si="22"/>
        <v>0.05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975"/>
      <c r="G91" s="18" t="s">
        <v>210</v>
      </c>
      <c r="H91" s="980" t="e">
        <f t="shared" ref="H91:R91" si="23">-H33/(H38+H41)</f>
        <v>#DIV/0!</v>
      </c>
      <c r="I91" s="980" t="e">
        <f t="shared" si="23"/>
        <v>#DIV/0!</v>
      </c>
      <c r="J91" s="980">
        <f t="shared" si="23"/>
        <v>0.94162697203354806</v>
      </c>
      <c r="K91" s="980">
        <f t="shared" si="23"/>
        <v>0.98791346767387778</v>
      </c>
      <c r="L91" s="980">
        <f t="shared" si="23"/>
        <v>1.1231888322827952</v>
      </c>
      <c r="M91" s="980">
        <f t="shared" si="23"/>
        <v>0.85034013605442171</v>
      </c>
      <c r="N91" s="980">
        <f t="shared" si="23"/>
        <v>1.0362694300518134</v>
      </c>
      <c r="O91" s="980">
        <f t="shared" si="23"/>
        <v>1.0416666666666667</v>
      </c>
      <c r="P91" s="980">
        <f t="shared" si="23"/>
        <v>1.0443864229765014</v>
      </c>
      <c r="Q91" s="980">
        <f t="shared" si="23"/>
        <v>1.0471204188481675</v>
      </c>
      <c r="R91" s="980">
        <f t="shared" si="23"/>
        <v>1.0498687664041995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975"/>
      <c r="G92" s="966" t="s">
        <v>214</v>
      </c>
      <c r="H92" s="976">
        <f>H46</f>
        <v>0</v>
      </c>
      <c r="I92" s="976">
        <f t="shared" ref="I92:R92" si="24">I46</f>
        <v>0</v>
      </c>
      <c r="J92" s="976">
        <f t="shared" si="24"/>
        <v>-83.894999999999982</v>
      </c>
      <c r="K92" s="976">
        <f t="shared" si="24"/>
        <v>-20.551999999999907</v>
      </c>
      <c r="L92" s="976">
        <f t="shared" si="24"/>
        <v>257.45000000000027</v>
      </c>
      <c r="M92" s="976">
        <f t="shared" si="24"/>
        <v>-330</v>
      </c>
      <c r="N92" s="976">
        <f t="shared" si="24"/>
        <v>70</v>
      </c>
      <c r="O92" s="976">
        <f t="shared" si="24"/>
        <v>80</v>
      </c>
      <c r="P92" s="976">
        <f t="shared" si="24"/>
        <v>85</v>
      </c>
      <c r="Q92" s="976">
        <f t="shared" si="24"/>
        <v>90</v>
      </c>
      <c r="R92" s="976">
        <f t="shared" si="24"/>
        <v>95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977">
        <v>-0.3</v>
      </c>
      <c r="E93" s="977">
        <v>0</v>
      </c>
      <c r="G93" s="18" t="s">
        <v>218</v>
      </c>
      <c r="H93" s="981" t="e">
        <f>H46/H33</f>
        <v>#DIV/0!</v>
      </c>
      <c r="I93" s="982" t="e">
        <f t="shared" ref="I93:R93" si="25">I46/I33</f>
        <v>#DIV/0!</v>
      </c>
      <c r="J93" s="982">
        <f t="shared" si="25"/>
        <v>-6.1991669419142588E-2</v>
      </c>
      <c r="K93" s="982">
        <f t="shared" si="25"/>
        <v>-1.2234403843669599E-2</v>
      </c>
      <c r="L93" s="982">
        <f t="shared" si="25"/>
        <v>0.10967775741895806</v>
      </c>
      <c r="M93" s="982">
        <f t="shared" si="25"/>
        <v>-0.17599999999999999</v>
      </c>
      <c r="N93" s="982">
        <f t="shared" si="25"/>
        <v>3.5000000000000003E-2</v>
      </c>
      <c r="O93" s="982">
        <f t="shared" si="25"/>
        <v>0.04</v>
      </c>
      <c r="P93" s="982">
        <f t="shared" si="25"/>
        <v>4.2500000000000003E-2</v>
      </c>
      <c r="Q93" s="982">
        <f t="shared" si="25"/>
        <v>4.4999999999999998E-2</v>
      </c>
      <c r="R93" s="982">
        <f t="shared" si="25"/>
        <v>4.7500000000000001E-2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975"/>
      <c r="G94" s="186" t="s">
        <v>222</v>
      </c>
      <c r="H94" s="976">
        <f>H29+H30</f>
        <v>0</v>
      </c>
      <c r="I94" s="976">
        <f t="shared" ref="I94:R94" si="26">I29+I30</f>
        <v>0</v>
      </c>
      <c r="J94" s="976">
        <f t="shared" si="26"/>
        <v>-83.995999999999995</v>
      </c>
      <c r="K94" s="976">
        <f t="shared" si="26"/>
        <v>-20.552</v>
      </c>
      <c r="L94" s="976">
        <f t="shared" si="26"/>
        <v>153.44299999999998</v>
      </c>
      <c r="M94" s="976">
        <f t="shared" si="26"/>
        <v>-177</v>
      </c>
      <c r="N94" s="976">
        <f t="shared" si="26"/>
        <v>-83</v>
      </c>
      <c r="O94" s="976">
        <f t="shared" si="26"/>
        <v>-103</v>
      </c>
      <c r="P94" s="976">
        <f t="shared" si="26"/>
        <v>-113</v>
      </c>
      <c r="Q94" s="976">
        <f t="shared" si="26"/>
        <v>-123</v>
      </c>
      <c r="R94" s="976">
        <f t="shared" si="26"/>
        <v>-133</v>
      </c>
    </row>
    <row r="95" spans="1:18" x14ac:dyDescent="0.2">
      <c r="G95" s="68" t="s">
        <v>223</v>
      </c>
      <c r="H95" s="972">
        <f t="shared" ref="H95:R95" si="27">H87</f>
        <v>2011</v>
      </c>
      <c r="I95" s="972">
        <f t="shared" si="27"/>
        <v>2012</v>
      </c>
      <c r="J95" s="972">
        <f t="shared" si="27"/>
        <v>2013</v>
      </c>
      <c r="K95" s="972">
        <f t="shared" si="27"/>
        <v>2014</v>
      </c>
      <c r="L95" s="972">
        <f t="shared" si="27"/>
        <v>2015</v>
      </c>
      <c r="M95" s="972">
        <f t="shared" si="27"/>
        <v>2016</v>
      </c>
      <c r="N95" s="972">
        <f t="shared" si="27"/>
        <v>2017</v>
      </c>
      <c r="O95" s="972">
        <f t="shared" si="27"/>
        <v>2018</v>
      </c>
      <c r="P95" s="972">
        <f t="shared" si="27"/>
        <v>2019</v>
      </c>
      <c r="Q95" s="972">
        <f t="shared" si="27"/>
        <v>2020</v>
      </c>
      <c r="R95" s="972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975"/>
      <c r="F96" s="69"/>
      <c r="G96" s="966" t="s">
        <v>227</v>
      </c>
      <c r="H96" s="976">
        <f t="shared" ref="H96:R96" si="28">H6+H12</f>
        <v>0</v>
      </c>
      <c r="I96" s="967">
        <f t="shared" si="28"/>
        <v>0</v>
      </c>
      <c r="J96" s="967">
        <f t="shared" si="28"/>
        <v>133.09899999999999</v>
      </c>
      <c r="K96" s="967">
        <f t="shared" si="28"/>
        <v>132.459</v>
      </c>
      <c r="L96" s="967">
        <f t="shared" si="28"/>
        <v>311.476</v>
      </c>
      <c r="M96" s="967">
        <f t="shared" si="28"/>
        <v>13</v>
      </c>
      <c r="N96" s="967">
        <f t="shared" si="28"/>
        <v>100</v>
      </c>
      <c r="O96" s="967">
        <f t="shared" si="28"/>
        <v>100</v>
      </c>
      <c r="P96" s="967">
        <f t="shared" si="28"/>
        <v>100</v>
      </c>
      <c r="Q96" s="967">
        <f t="shared" si="28"/>
        <v>100</v>
      </c>
      <c r="R96" s="967">
        <f t="shared" si="28"/>
        <v>100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975"/>
      <c r="F97" s="69"/>
      <c r="G97" s="18" t="s">
        <v>230</v>
      </c>
      <c r="H97" s="976">
        <f>H19</f>
        <v>0</v>
      </c>
      <c r="I97" s="976">
        <f t="shared" ref="I97:R97" si="29">I19</f>
        <v>0</v>
      </c>
      <c r="J97" s="976">
        <f t="shared" si="29"/>
        <v>249.047</v>
      </c>
      <c r="K97" s="976">
        <f t="shared" si="29"/>
        <v>451.44799999999998</v>
      </c>
      <c r="L97" s="976">
        <f t="shared" si="29"/>
        <v>206.05600000000001</v>
      </c>
      <c r="M97" s="976">
        <f t="shared" si="29"/>
        <v>298</v>
      </c>
      <c r="N97" s="976">
        <f t="shared" si="29"/>
        <v>250</v>
      </c>
      <c r="O97" s="976">
        <f t="shared" si="29"/>
        <v>250</v>
      </c>
      <c r="P97" s="976">
        <f t="shared" si="29"/>
        <v>250</v>
      </c>
      <c r="Q97" s="976">
        <f t="shared" si="29"/>
        <v>250</v>
      </c>
      <c r="R97" s="976">
        <f t="shared" si="29"/>
        <v>250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975"/>
      <c r="F98" s="69"/>
      <c r="G98" s="18" t="s">
        <v>234</v>
      </c>
      <c r="H98" s="976">
        <f t="shared" ref="H98:R98" si="30">H97-H96</f>
        <v>0</v>
      </c>
      <c r="I98" s="967">
        <f t="shared" si="30"/>
        <v>0</v>
      </c>
      <c r="J98" s="967">
        <f t="shared" si="30"/>
        <v>115.94800000000001</v>
      </c>
      <c r="K98" s="967">
        <f t="shared" si="30"/>
        <v>318.98899999999998</v>
      </c>
      <c r="L98" s="967">
        <f t="shared" si="30"/>
        <v>-105.41999999999999</v>
      </c>
      <c r="M98" s="967">
        <f t="shared" si="30"/>
        <v>285</v>
      </c>
      <c r="N98" s="967">
        <f t="shared" si="30"/>
        <v>150</v>
      </c>
      <c r="O98" s="967">
        <f t="shared" si="30"/>
        <v>150</v>
      </c>
      <c r="P98" s="967">
        <f t="shared" si="30"/>
        <v>150</v>
      </c>
      <c r="Q98" s="967">
        <f t="shared" si="30"/>
        <v>150</v>
      </c>
      <c r="R98" s="967">
        <f t="shared" si="30"/>
        <v>150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977">
        <v>0.4</v>
      </c>
      <c r="F99" s="69"/>
      <c r="G99" s="18" t="s">
        <v>238</v>
      </c>
      <c r="H99" s="983" t="e">
        <f t="shared" ref="H99:R99" si="31">H98/H33</f>
        <v>#DIV/0!</v>
      </c>
      <c r="I99" s="979" t="e">
        <f t="shared" si="31"/>
        <v>#DIV/0!</v>
      </c>
      <c r="J99" s="979">
        <f t="shared" si="31"/>
        <v>8.5676263016994422E-2</v>
      </c>
      <c r="K99" s="979">
        <f t="shared" si="31"/>
        <v>0.18989102022617452</v>
      </c>
      <c r="L99" s="979">
        <f t="shared" si="31"/>
        <v>-4.4910581422049123E-2</v>
      </c>
      <c r="M99" s="979">
        <f t="shared" si="31"/>
        <v>0.152</v>
      </c>
      <c r="N99" s="979">
        <f t="shared" si="31"/>
        <v>7.4999999999999997E-2</v>
      </c>
      <c r="O99" s="979">
        <f t="shared" si="31"/>
        <v>7.4999999999999997E-2</v>
      </c>
      <c r="P99" s="979">
        <f t="shared" si="31"/>
        <v>7.4999999999999997E-2</v>
      </c>
      <c r="Q99" s="979">
        <f t="shared" si="31"/>
        <v>7.4999999999999997E-2</v>
      </c>
      <c r="R99" s="979">
        <f t="shared" si="31"/>
        <v>7.4999999999999997E-2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984">
        <v>0</v>
      </c>
      <c r="E100" s="984">
        <v>5</v>
      </c>
      <c r="F100" s="69"/>
      <c r="G100" s="18" t="s">
        <v>242</v>
      </c>
      <c r="H100" s="980" t="e">
        <f t="shared" ref="H100:R100" si="32">H98/H89</f>
        <v>#DIV/0!</v>
      </c>
      <c r="I100" s="980" t="e">
        <f t="shared" si="32"/>
        <v>#DIV/0!</v>
      </c>
      <c r="J100" s="980">
        <f t="shared" si="32"/>
        <v>-2.728380826881899</v>
      </c>
      <c r="K100" s="980">
        <f t="shared" si="32"/>
        <v>14.559724314208712</v>
      </c>
      <c r="L100" s="980">
        <f t="shared" si="32"/>
        <v>-0.34718745883282798</v>
      </c>
      <c r="M100" s="980">
        <f t="shared" si="32"/>
        <v>-0.95959595959595956</v>
      </c>
      <c r="N100" s="980">
        <f t="shared" si="32"/>
        <v>1.5</v>
      </c>
      <c r="O100" s="980">
        <f t="shared" si="32"/>
        <v>1.5</v>
      </c>
      <c r="P100" s="980">
        <f t="shared" si="32"/>
        <v>1.5</v>
      </c>
      <c r="Q100" s="980">
        <f t="shared" si="32"/>
        <v>1.5</v>
      </c>
      <c r="R100" s="980">
        <f t="shared" si="32"/>
        <v>1.5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975"/>
      <c r="F101" s="69"/>
      <c r="G101" s="18" t="s">
        <v>246</v>
      </c>
      <c r="H101" s="976">
        <f t="shared" ref="H101:R101" si="33">-(H75+H77+H78+H79+H80+H81)</f>
        <v>0</v>
      </c>
      <c r="I101" s="976">
        <f t="shared" si="33"/>
        <v>0</v>
      </c>
      <c r="J101" s="976">
        <f t="shared" si="33"/>
        <v>0.10100000000000001</v>
      </c>
      <c r="K101" s="976">
        <f t="shared" si="33"/>
        <v>0</v>
      </c>
      <c r="L101" s="976">
        <f t="shared" si="33"/>
        <v>5.0999999999999997E-2</v>
      </c>
      <c r="M101" s="976">
        <f t="shared" si="33"/>
        <v>0</v>
      </c>
      <c r="N101" s="976">
        <f t="shared" si="33"/>
        <v>0</v>
      </c>
      <c r="O101" s="976">
        <f t="shared" si="33"/>
        <v>0</v>
      </c>
      <c r="P101" s="976">
        <f t="shared" si="33"/>
        <v>0</v>
      </c>
      <c r="Q101" s="976">
        <f t="shared" si="33"/>
        <v>0</v>
      </c>
      <c r="R101" s="976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984">
        <v>1.2</v>
      </c>
      <c r="F102" s="69"/>
      <c r="G102" s="18" t="s">
        <v>250</v>
      </c>
      <c r="H102" s="985" t="e">
        <f t="shared" ref="H102:R102" si="34">H89/H101</f>
        <v>#DIV/0!</v>
      </c>
      <c r="I102" s="980" t="e">
        <f t="shared" si="34"/>
        <v>#DIV/0!</v>
      </c>
      <c r="J102" s="980">
        <f t="shared" si="34"/>
        <v>-420.76237623762353</v>
      </c>
      <c r="K102" s="980" t="e">
        <f t="shared" si="34"/>
        <v>#DIV/0!</v>
      </c>
      <c r="L102" s="980">
        <f t="shared" si="34"/>
        <v>5953.7254901960841</v>
      </c>
      <c r="M102" s="980" t="e">
        <f t="shared" si="34"/>
        <v>#DIV/0!</v>
      </c>
      <c r="N102" s="980" t="e">
        <f t="shared" si="34"/>
        <v>#DIV/0!</v>
      </c>
      <c r="O102" s="980" t="e">
        <f t="shared" si="34"/>
        <v>#DIV/0!</v>
      </c>
      <c r="P102" s="980" t="e">
        <f t="shared" si="34"/>
        <v>#DIV/0!</v>
      </c>
      <c r="Q102" s="980" t="e">
        <f t="shared" si="34"/>
        <v>#DIV/0!</v>
      </c>
      <c r="R102" s="980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984">
        <v>0</v>
      </c>
      <c r="F103" s="69"/>
      <c r="G103" s="966" t="s">
        <v>254</v>
      </c>
      <c r="H103" s="976">
        <f t="shared" ref="H103:R103" si="35">H5-H20</f>
        <v>0</v>
      </c>
      <c r="I103" s="976">
        <f t="shared" si="35"/>
        <v>0</v>
      </c>
      <c r="J103" s="976">
        <f t="shared" si="35"/>
        <v>-50.89500000000001</v>
      </c>
      <c r="K103" s="976">
        <f t="shared" si="35"/>
        <v>-109.83499999999998</v>
      </c>
      <c r="L103" s="976">
        <f t="shared" si="35"/>
        <v>183.36300000000003</v>
      </c>
      <c r="M103" s="976">
        <f t="shared" si="35"/>
        <v>-127</v>
      </c>
      <c r="N103" s="976">
        <f t="shared" si="35"/>
        <v>-45</v>
      </c>
      <c r="O103" s="976">
        <f t="shared" si="35"/>
        <v>-45</v>
      </c>
      <c r="P103" s="976">
        <f t="shared" si="35"/>
        <v>-45</v>
      </c>
      <c r="Q103" s="976">
        <f t="shared" si="35"/>
        <v>-45</v>
      </c>
      <c r="R103" s="976">
        <f t="shared" si="35"/>
        <v>-45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984">
        <v>1</v>
      </c>
      <c r="F104" s="69"/>
      <c r="G104" s="18" t="s">
        <v>258</v>
      </c>
      <c r="H104" s="985" t="e">
        <f t="shared" ref="H104:R104" si="36">H5/H20</f>
        <v>#DIV/0!</v>
      </c>
      <c r="I104" s="985" t="e">
        <f t="shared" si="36"/>
        <v>#DIV/0!</v>
      </c>
      <c r="J104" s="985">
        <f t="shared" si="36"/>
        <v>0.79564098342883061</v>
      </c>
      <c r="K104" s="985">
        <f t="shared" si="36"/>
        <v>0.75670509117329132</v>
      </c>
      <c r="L104" s="985">
        <f t="shared" si="36"/>
        <v>1.8898697441472223</v>
      </c>
      <c r="M104" s="985">
        <f t="shared" si="36"/>
        <v>0.5738255033557047</v>
      </c>
      <c r="N104" s="985">
        <f t="shared" si="36"/>
        <v>0.82</v>
      </c>
      <c r="O104" s="985">
        <f t="shared" si="36"/>
        <v>0.82</v>
      </c>
      <c r="P104" s="985">
        <f t="shared" si="36"/>
        <v>0.82</v>
      </c>
      <c r="Q104" s="985">
        <f t="shared" si="36"/>
        <v>0.82</v>
      </c>
      <c r="R104" s="985">
        <f t="shared" si="36"/>
        <v>0.82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984">
        <v>1</v>
      </c>
      <c r="F105" s="69"/>
      <c r="G105" s="186" t="s">
        <v>262</v>
      </c>
      <c r="H105" s="985" t="e">
        <f t="shared" ref="H105:R105" si="37">-H6/((H38+H41-H45+H47)/12)</f>
        <v>#DIV/0!</v>
      </c>
      <c r="I105" s="985" t="e">
        <f t="shared" si="37"/>
        <v>#DIV/0!</v>
      </c>
      <c r="J105" s="985">
        <f t="shared" si="37"/>
        <v>1.1441789494421259</v>
      </c>
      <c r="K105" s="985">
        <f t="shared" si="37"/>
        <v>0.95872236939245237</v>
      </c>
      <c r="L105" s="985">
        <f t="shared" si="37"/>
        <v>1.8293878713691463</v>
      </c>
      <c r="M105" s="985">
        <f t="shared" si="37"/>
        <v>7.18232044198895E-2</v>
      </c>
      <c r="N105" s="985">
        <f t="shared" si="37"/>
        <v>0.63157894736842102</v>
      </c>
      <c r="O105" s="985">
        <f t="shared" si="37"/>
        <v>0.63157894736842102</v>
      </c>
      <c r="P105" s="985">
        <f t="shared" si="37"/>
        <v>0.63157894736842102</v>
      </c>
      <c r="Q105" s="985">
        <f t="shared" si="37"/>
        <v>0.63157894736842102</v>
      </c>
      <c r="R105" s="985">
        <f t="shared" si="37"/>
        <v>0.63157894736842102</v>
      </c>
    </row>
    <row r="106" spans="1:18" x14ac:dyDescent="0.2">
      <c r="C106" s="16"/>
      <c r="F106" s="69"/>
      <c r="G106" s="68" t="s">
        <v>263</v>
      </c>
      <c r="H106" s="972">
        <f t="shared" ref="H106:R106" si="38">H95</f>
        <v>2011</v>
      </c>
      <c r="I106" s="972">
        <f t="shared" si="38"/>
        <v>2012</v>
      </c>
      <c r="J106" s="972">
        <f t="shared" si="38"/>
        <v>2013</v>
      </c>
      <c r="K106" s="972">
        <f t="shared" si="38"/>
        <v>2014</v>
      </c>
      <c r="L106" s="972">
        <f t="shared" si="38"/>
        <v>2015</v>
      </c>
      <c r="M106" s="972">
        <f t="shared" si="38"/>
        <v>2016</v>
      </c>
      <c r="N106" s="972">
        <f t="shared" si="38"/>
        <v>2017</v>
      </c>
      <c r="O106" s="972">
        <f t="shared" si="38"/>
        <v>2018</v>
      </c>
      <c r="P106" s="972">
        <f t="shared" si="38"/>
        <v>2019</v>
      </c>
      <c r="Q106" s="972">
        <f t="shared" si="38"/>
        <v>2020</v>
      </c>
      <c r="R106" s="972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977">
        <v>0.6</v>
      </c>
      <c r="F107" s="69"/>
      <c r="G107" s="966" t="s">
        <v>267</v>
      </c>
      <c r="H107" s="983" t="e">
        <f t="shared" ref="H107:R107" si="39">H17/H4</f>
        <v>#DIV/0!</v>
      </c>
      <c r="I107" s="983">
        <f t="shared" si="39"/>
        <v>0</v>
      </c>
      <c r="J107" s="983">
        <f t="shared" si="39"/>
        <v>0</v>
      </c>
      <c r="K107" s="983">
        <f t="shared" si="39"/>
        <v>0</v>
      </c>
      <c r="L107" s="983">
        <f t="shared" si="39"/>
        <v>0</v>
      </c>
      <c r="M107" s="983">
        <f t="shared" si="39"/>
        <v>0</v>
      </c>
      <c r="N107" s="983">
        <f t="shared" si="39"/>
        <v>0</v>
      </c>
      <c r="O107" s="983">
        <f t="shared" si="39"/>
        <v>0</v>
      </c>
      <c r="P107" s="983">
        <f t="shared" si="39"/>
        <v>0</v>
      </c>
      <c r="Q107" s="983">
        <f t="shared" si="39"/>
        <v>0</v>
      </c>
      <c r="R107" s="983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977">
        <v>0.4</v>
      </c>
      <c r="F108" s="69"/>
      <c r="G108" s="186" t="s">
        <v>271</v>
      </c>
      <c r="H108" s="983" t="e">
        <f t="shared" ref="H108:R108" si="40">H27/H17</f>
        <v>#DIV/0!</v>
      </c>
      <c r="I108" s="983" t="e">
        <f t="shared" si="40"/>
        <v>#DIV/0!</v>
      </c>
      <c r="J108" s="983" t="e">
        <f t="shared" si="40"/>
        <v>#DIV/0!</v>
      </c>
      <c r="K108" s="983" t="e">
        <f t="shared" si="40"/>
        <v>#DIV/0!</v>
      </c>
      <c r="L108" s="983" t="e">
        <f t="shared" si="40"/>
        <v>#DIV/0!</v>
      </c>
      <c r="M108" s="983" t="e">
        <f t="shared" si="40"/>
        <v>#DIV/0!</v>
      </c>
      <c r="N108" s="983" t="e">
        <f t="shared" si="40"/>
        <v>#DIV/0!</v>
      </c>
      <c r="O108" s="983" t="e">
        <f t="shared" si="40"/>
        <v>#DIV/0!</v>
      </c>
      <c r="P108" s="983" t="e">
        <f t="shared" si="40"/>
        <v>#DIV/0!</v>
      </c>
      <c r="Q108" s="983" t="e">
        <f t="shared" si="40"/>
        <v>#DIV/0!</v>
      </c>
      <c r="R108" s="983" t="e">
        <f t="shared" si="40"/>
        <v>#DIV/0!</v>
      </c>
    </row>
    <row r="109" spans="1:18" x14ac:dyDescent="0.2">
      <c r="C109" s="16"/>
      <c r="F109" s="69"/>
      <c r="G109" s="198" t="s">
        <v>272</v>
      </c>
      <c r="H109" s="972">
        <f t="shared" ref="H109:R109" si="41">H95</f>
        <v>2011</v>
      </c>
      <c r="I109" s="972">
        <f t="shared" si="41"/>
        <v>2012</v>
      </c>
      <c r="J109" s="972">
        <f t="shared" si="41"/>
        <v>2013</v>
      </c>
      <c r="K109" s="972">
        <f t="shared" si="41"/>
        <v>2014</v>
      </c>
      <c r="L109" s="972">
        <f t="shared" si="41"/>
        <v>2015</v>
      </c>
      <c r="M109" s="972">
        <f t="shared" si="41"/>
        <v>2016</v>
      </c>
      <c r="N109" s="972">
        <f t="shared" si="41"/>
        <v>2017</v>
      </c>
      <c r="O109" s="972">
        <f t="shared" si="41"/>
        <v>2018</v>
      </c>
      <c r="P109" s="972">
        <f t="shared" si="41"/>
        <v>2019</v>
      </c>
      <c r="Q109" s="972">
        <f t="shared" si="41"/>
        <v>2020</v>
      </c>
      <c r="R109" s="972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975"/>
      <c r="F110" s="69"/>
      <c r="G110" s="18" t="s">
        <v>276</v>
      </c>
      <c r="H110" s="986" t="e">
        <f t="shared" ref="H110:R110" si="42">H10/H4</f>
        <v>#DIV/0!</v>
      </c>
      <c r="I110" s="986">
        <f t="shared" si="42"/>
        <v>1</v>
      </c>
      <c r="J110" s="986">
        <f t="shared" si="42"/>
        <v>0.27382003818682227</v>
      </c>
      <c r="K110" s="986">
        <f t="shared" si="42"/>
        <v>0.24873823174312046</v>
      </c>
      <c r="L110" s="986">
        <f t="shared" si="42"/>
        <v>0.16669377169293714</v>
      </c>
      <c r="M110" s="986">
        <f t="shared" si="42"/>
        <v>0.25327510917030566</v>
      </c>
      <c r="N110" s="986">
        <f t="shared" si="42"/>
        <v>0.25454545454545452</v>
      </c>
      <c r="O110" s="986">
        <f t="shared" si="42"/>
        <v>0.19607843137254902</v>
      </c>
      <c r="P110" s="986">
        <f t="shared" si="42"/>
        <v>0.16326530612244897</v>
      </c>
      <c r="Q110" s="986">
        <f t="shared" si="42"/>
        <v>0.1276595744680851</v>
      </c>
      <c r="R110" s="986">
        <f t="shared" si="42"/>
        <v>8.8888888888888892E-2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975"/>
      <c r="F111" s="69"/>
      <c r="G111" s="18" t="s">
        <v>280</v>
      </c>
      <c r="H111" s="986" t="e">
        <f t="shared" ref="H111:R111" si="43">-(H58)/H15</f>
        <v>#DIV/0!</v>
      </c>
      <c r="I111" s="986">
        <f t="shared" si="43"/>
        <v>0</v>
      </c>
      <c r="J111" s="986">
        <f t="shared" si="43"/>
        <v>0.11840678828111406</v>
      </c>
      <c r="K111" s="986">
        <f t="shared" si="43"/>
        <v>0.71481619012253994</v>
      </c>
      <c r="L111" s="986">
        <f t="shared" si="43"/>
        <v>0.14099025661433395</v>
      </c>
      <c r="M111" s="986">
        <f t="shared" si="43"/>
        <v>0.2413793103448276</v>
      </c>
      <c r="N111" s="986">
        <f t="shared" si="43"/>
        <v>0.18571428571428572</v>
      </c>
      <c r="O111" s="986">
        <f t="shared" si="43"/>
        <v>0</v>
      </c>
      <c r="P111" s="986">
        <f t="shared" si="43"/>
        <v>0</v>
      </c>
      <c r="Q111" s="986">
        <f t="shared" si="43"/>
        <v>0</v>
      </c>
      <c r="R111" s="986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975"/>
      <c r="F112" s="69"/>
      <c r="G112" s="966" t="s">
        <v>284</v>
      </c>
      <c r="H112" s="980" t="e">
        <f t="shared" ref="H112:R112" si="44">H33/H4</f>
        <v>#DIV/0!</v>
      </c>
      <c r="I112" s="980">
        <f t="shared" si="44"/>
        <v>0</v>
      </c>
      <c r="J112" s="980">
        <f t="shared" si="44"/>
        <v>4.9596216499492431</v>
      </c>
      <c r="K112" s="980">
        <f t="shared" si="44"/>
        <v>3.6942661291918748</v>
      </c>
      <c r="L112" s="980">
        <f t="shared" si="44"/>
        <v>5.0229843489871993</v>
      </c>
      <c r="M112" s="980">
        <f t="shared" si="44"/>
        <v>8.1877729257641914</v>
      </c>
      <c r="N112" s="980">
        <f t="shared" si="44"/>
        <v>7.2727272727272725</v>
      </c>
      <c r="O112" s="980">
        <f t="shared" si="44"/>
        <v>7.8431372549019605</v>
      </c>
      <c r="P112" s="980">
        <f t="shared" si="44"/>
        <v>8.1632653061224492</v>
      </c>
      <c r="Q112" s="980">
        <f t="shared" si="44"/>
        <v>8.5106382978723403</v>
      </c>
      <c r="R112" s="980">
        <f t="shared" si="44"/>
        <v>8.8888888888888893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975"/>
      <c r="F113" s="69"/>
      <c r="G113" s="186" t="s">
        <v>288</v>
      </c>
      <c r="H113" s="980" t="e">
        <f t="shared" ref="H113:R113" si="45">H33/H15</f>
        <v>#DIV/0!</v>
      </c>
      <c r="I113" s="980">
        <f t="shared" si="45"/>
        <v>0</v>
      </c>
      <c r="J113" s="980">
        <f t="shared" si="45"/>
        <v>18.112705274569375</v>
      </c>
      <c r="K113" s="980">
        <f t="shared" si="45"/>
        <v>14.85202376531749</v>
      </c>
      <c r="L113" s="980">
        <f t="shared" si="45"/>
        <v>30.133005558479571</v>
      </c>
      <c r="M113" s="980">
        <f t="shared" si="45"/>
        <v>32.327586206896555</v>
      </c>
      <c r="N113" s="980">
        <f t="shared" si="45"/>
        <v>28.571428571428573</v>
      </c>
      <c r="O113" s="980">
        <f t="shared" si="45"/>
        <v>40</v>
      </c>
      <c r="P113" s="980">
        <f t="shared" si="45"/>
        <v>50</v>
      </c>
      <c r="Q113" s="980">
        <f t="shared" si="45"/>
        <v>66.666666666666671</v>
      </c>
      <c r="R113" s="980">
        <f t="shared" si="45"/>
        <v>100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977">
        <v>0.5</v>
      </c>
      <c r="E114" s="977">
        <f>1/3</f>
        <v>0.33333333333333331</v>
      </c>
      <c r="F114" s="69"/>
      <c r="G114" s="18" t="s">
        <v>292</v>
      </c>
      <c r="H114" s="986" t="e">
        <f t="shared" ref="H114:R114" si="46">H27/H4</f>
        <v>#DIV/0!</v>
      </c>
      <c r="I114" s="986">
        <f t="shared" si="46"/>
        <v>1</v>
      </c>
      <c r="J114" s="986">
        <f t="shared" si="46"/>
        <v>8.7305630174186188E-2</v>
      </c>
      <c r="K114" s="986">
        <f t="shared" si="46"/>
        <v>7.1934535394386438E-3</v>
      </c>
      <c r="L114" s="986">
        <f t="shared" si="46"/>
        <v>0.55906684527452399</v>
      </c>
      <c r="M114" s="986">
        <f t="shared" si="46"/>
        <v>-0.30131004366812225</v>
      </c>
      <c r="N114" s="986">
        <f t="shared" si="46"/>
        <v>9.0909090909090912E-2</v>
      </c>
      <c r="O114" s="986">
        <f t="shared" si="46"/>
        <v>1.9607843137254902E-2</v>
      </c>
      <c r="P114" s="986">
        <f t="shared" si="46"/>
        <v>-2.0408163265306121E-2</v>
      </c>
      <c r="Q114" s="986">
        <f t="shared" si="46"/>
        <v>-6.3829787234042548E-2</v>
      </c>
      <c r="R114" s="986">
        <f t="shared" si="46"/>
        <v>-0.1111111111111111</v>
      </c>
    </row>
    <row r="115" spans="1:19" x14ac:dyDescent="0.2">
      <c r="A115" s="77"/>
      <c r="C115" s="77"/>
      <c r="D115" s="78"/>
      <c r="E115" s="79"/>
      <c r="F115" s="69"/>
      <c r="G115" s="964" t="s">
        <v>293</v>
      </c>
      <c r="H115" s="972">
        <f t="shared" ref="H115:R115" si="47">H109</f>
        <v>2011</v>
      </c>
      <c r="I115" s="972">
        <f t="shared" si="47"/>
        <v>2012</v>
      </c>
      <c r="J115" s="972">
        <f t="shared" si="47"/>
        <v>2013</v>
      </c>
      <c r="K115" s="972">
        <f t="shared" si="47"/>
        <v>2014</v>
      </c>
      <c r="L115" s="972">
        <f t="shared" si="47"/>
        <v>2015</v>
      </c>
      <c r="M115" s="972">
        <f t="shared" si="47"/>
        <v>2016</v>
      </c>
      <c r="N115" s="972">
        <f t="shared" si="47"/>
        <v>2017</v>
      </c>
      <c r="O115" s="972">
        <f t="shared" si="47"/>
        <v>2018</v>
      </c>
      <c r="P115" s="972">
        <f t="shared" si="47"/>
        <v>2019</v>
      </c>
      <c r="Q115" s="972">
        <f t="shared" si="47"/>
        <v>2020</v>
      </c>
      <c r="R115" s="972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977">
        <v>0.05</v>
      </c>
      <c r="G116" s="966" t="s">
        <v>297</v>
      </c>
      <c r="H116" s="979" t="e">
        <f t="shared" ref="H116:R116" si="48">H35/H33</f>
        <v>#DIV/0!</v>
      </c>
      <c r="I116" s="979" t="e">
        <f t="shared" si="48"/>
        <v>#DIV/0!</v>
      </c>
      <c r="J116" s="979">
        <f t="shared" si="48"/>
        <v>0.30263934732699488</v>
      </c>
      <c r="K116" s="979">
        <f t="shared" si="48"/>
        <v>0.42259650100336155</v>
      </c>
      <c r="L116" s="979">
        <f t="shared" si="48"/>
        <v>0.4337517802133572</v>
      </c>
      <c r="M116" s="979">
        <f t="shared" si="48"/>
        <v>0.40160000000000001</v>
      </c>
      <c r="N116" s="979">
        <f t="shared" si="48"/>
        <v>0.5</v>
      </c>
      <c r="O116" s="979">
        <f t="shared" si="48"/>
        <v>0.5</v>
      </c>
      <c r="P116" s="979">
        <f t="shared" si="48"/>
        <v>0.5</v>
      </c>
      <c r="Q116" s="979">
        <f t="shared" si="48"/>
        <v>0.5</v>
      </c>
      <c r="R116" s="979">
        <f t="shared" si="48"/>
        <v>0.5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977">
        <v>0.95</v>
      </c>
      <c r="G117" s="18" t="s">
        <v>301</v>
      </c>
      <c r="H117" s="986" t="e">
        <f t="shared" ref="H117:R117" si="49">(H36+H34)/H33</f>
        <v>#DIV/0!</v>
      </c>
      <c r="I117" s="986" t="e">
        <f t="shared" si="49"/>
        <v>#DIV/0!</v>
      </c>
      <c r="J117" s="986">
        <f t="shared" si="49"/>
        <v>0.69748848578355416</v>
      </c>
      <c r="K117" s="986">
        <f t="shared" si="49"/>
        <v>0.57740349899663834</v>
      </c>
      <c r="L117" s="986">
        <f t="shared" si="49"/>
        <v>0.56624821978664275</v>
      </c>
      <c r="M117" s="986">
        <f t="shared" si="49"/>
        <v>0.59840000000000004</v>
      </c>
      <c r="N117" s="986">
        <f t="shared" si="49"/>
        <v>0.5</v>
      </c>
      <c r="O117" s="986">
        <f t="shared" si="49"/>
        <v>0.5</v>
      </c>
      <c r="P117" s="986">
        <f t="shared" si="49"/>
        <v>0.5</v>
      </c>
      <c r="Q117" s="986">
        <f t="shared" si="49"/>
        <v>0.5</v>
      </c>
      <c r="R117" s="986">
        <f t="shared" si="49"/>
        <v>0.5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977">
        <v>0.95</v>
      </c>
      <c r="G118" s="186" t="s">
        <v>305</v>
      </c>
      <c r="H118" s="979" t="e">
        <f t="shared" ref="H118:R118" si="50">H38/(H38+H41)</f>
        <v>#DIV/0!</v>
      </c>
      <c r="I118" s="979" t="e">
        <f t="shared" si="50"/>
        <v>#DIV/0!</v>
      </c>
      <c r="J118" s="979">
        <f t="shared" si="50"/>
        <v>4.2909863611884591E-2</v>
      </c>
      <c r="K118" s="979">
        <f t="shared" si="50"/>
        <v>0</v>
      </c>
      <c r="L118" s="979">
        <f t="shared" si="50"/>
        <v>0</v>
      </c>
      <c r="M118" s="979">
        <f t="shared" si="50"/>
        <v>0</v>
      </c>
      <c r="N118" s="979">
        <f t="shared" si="50"/>
        <v>0</v>
      </c>
      <c r="O118" s="979">
        <f t="shared" si="50"/>
        <v>0</v>
      </c>
      <c r="P118" s="979">
        <f t="shared" si="50"/>
        <v>0</v>
      </c>
      <c r="Q118" s="979">
        <f t="shared" si="50"/>
        <v>0</v>
      </c>
      <c r="R118" s="979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964" t="s">
        <v>306</v>
      </c>
      <c r="H119" s="972">
        <f>H115</f>
        <v>2011</v>
      </c>
      <c r="I119" s="972">
        <f t="shared" ref="I119:R119" si="51">I115</f>
        <v>2012</v>
      </c>
      <c r="J119" s="972">
        <f t="shared" si="51"/>
        <v>2013</v>
      </c>
      <c r="K119" s="972">
        <f t="shared" si="51"/>
        <v>2014</v>
      </c>
      <c r="L119" s="972">
        <f t="shared" si="51"/>
        <v>2015</v>
      </c>
      <c r="M119" s="972">
        <f t="shared" si="51"/>
        <v>2016</v>
      </c>
      <c r="N119" s="972">
        <f t="shared" si="51"/>
        <v>2017</v>
      </c>
      <c r="O119" s="972">
        <f t="shared" si="51"/>
        <v>2018</v>
      </c>
      <c r="P119" s="972">
        <f t="shared" si="51"/>
        <v>2019</v>
      </c>
      <c r="Q119" s="972">
        <f t="shared" si="51"/>
        <v>2020</v>
      </c>
      <c r="R119" s="972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987">
        <v>0.5</v>
      </c>
      <c r="E120" s="988" t="s">
        <v>310</v>
      </c>
      <c r="F120" s="4"/>
      <c r="G120" s="966" t="s">
        <v>311</v>
      </c>
      <c r="H120" s="980" t="e">
        <f t="shared" ref="H120:R120" si="52">IF(H116&lt;$D$120,$E$120,H35/H4)</f>
        <v>#DIV/0!</v>
      </c>
      <c r="I120" s="980" t="e">
        <f t="shared" si="52"/>
        <v>#DIV/0!</v>
      </c>
      <c r="J120" s="980" t="str">
        <f t="shared" si="52"/>
        <v>N/A</v>
      </c>
      <c r="K120" s="980" t="str">
        <f t="shared" si="52"/>
        <v>N/A</v>
      </c>
      <c r="L120" s="980" t="str">
        <f t="shared" si="52"/>
        <v>N/A</v>
      </c>
      <c r="M120" s="980" t="str">
        <f t="shared" si="52"/>
        <v>N/A</v>
      </c>
      <c r="N120" s="980">
        <f t="shared" si="52"/>
        <v>3.6363636363636362</v>
      </c>
      <c r="O120" s="980">
        <f t="shared" si="52"/>
        <v>3.9215686274509802</v>
      </c>
      <c r="P120" s="980">
        <f t="shared" si="52"/>
        <v>4.0816326530612246</v>
      </c>
      <c r="Q120" s="980">
        <f t="shared" si="52"/>
        <v>4.2553191489361701</v>
      </c>
      <c r="R120" s="980">
        <f t="shared" si="52"/>
        <v>4.4444444444444446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987">
        <v>0.5</v>
      </c>
      <c r="E121" s="988" t="s">
        <v>310</v>
      </c>
      <c r="F121" s="4"/>
      <c r="G121" s="18" t="s">
        <v>315</v>
      </c>
      <c r="H121" s="980" t="e">
        <f t="shared" ref="H121:R121" si="53">IF(H116&lt;$D$121,$E$121,H35/H15)</f>
        <v>#DIV/0!</v>
      </c>
      <c r="I121" s="980" t="e">
        <f t="shared" si="53"/>
        <v>#DIV/0!</v>
      </c>
      <c r="J121" s="980" t="str">
        <f t="shared" si="53"/>
        <v>N/A</v>
      </c>
      <c r="K121" s="980" t="str">
        <f t="shared" si="53"/>
        <v>N/A</v>
      </c>
      <c r="L121" s="980" t="str">
        <f t="shared" si="53"/>
        <v>N/A</v>
      </c>
      <c r="M121" s="980" t="str">
        <f t="shared" si="53"/>
        <v>N/A</v>
      </c>
      <c r="N121" s="980">
        <f t="shared" si="53"/>
        <v>14.285714285714286</v>
      </c>
      <c r="O121" s="980">
        <f t="shared" si="53"/>
        <v>20</v>
      </c>
      <c r="P121" s="980">
        <f t="shared" si="53"/>
        <v>25</v>
      </c>
      <c r="Q121" s="980">
        <f t="shared" si="53"/>
        <v>33.333333333333336</v>
      </c>
      <c r="R121" s="980">
        <f t="shared" si="53"/>
        <v>50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987">
        <v>0.5</v>
      </c>
      <c r="E122" s="988" t="s">
        <v>310</v>
      </c>
      <c r="F122" s="4"/>
      <c r="G122" s="966" t="s">
        <v>318</v>
      </c>
      <c r="H122" s="986" t="e">
        <f t="shared" ref="H122:R122" si="54">IF(H116&lt;$D$122,$E$122,H46/H33)</f>
        <v>#DIV/0!</v>
      </c>
      <c r="I122" s="986" t="e">
        <f t="shared" si="54"/>
        <v>#DIV/0!</v>
      </c>
      <c r="J122" s="986" t="str">
        <f t="shared" si="54"/>
        <v>N/A</v>
      </c>
      <c r="K122" s="986" t="str">
        <f t="shared" si="54"/>
        <v>N/A</v>
      </c>
      <c r="L122" s="986" t="str">
        <f t="shared" si="54"/>
        <v>N/A</v>
      </c>
      <c r="M122" s="986" t="str">
        <f t="shared" si="54"/>
        <v>N/A</v>
      </c>
      <c r="N122" s="986">
        <f t="shared" si="54"/>
        <v>3.5000000000000003E-2</v>
      </c>
      <c r="O122" s="986">
        <f t="shared" si="54"/>
        <v>0.04</v>
      </c>
      <c r="P122" s="986">
        <f t="shared" si="54"/>
        <v>4.2500000000000003E-2</v>
      </c>
      <c r="Q122" s="986">
        <f t="shared" si="54"/>
        <v>4.4999999999999998E-2</v>
      </c>
      <c r="R122" s="986">
        <f t="shared" si="54"/>
        <v>4.7500000000000001E-2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987">
        <v>0.5</v>
      </c>
      <c r="E123" s="988" t="s">
        <v>310</v>
      </c>
      <c r="F123" s="4"/>
      <c r="G123" s="18" t="s">
        <v>322</v>
      </c>
      <c r="H123" s="986" t="e">
        <f t="shared" ref="H123:R123" si="55">IF(H116&lt;$D$122,$E$123,H51/H33)</f>
        <v>#DIV/0!</v>
      </c>
      <c r="I123" s="986" t="e">
        <f t="shared" si="55"/>
        <v>#DIV/0!</v>
      </c>
      <c r="J123" s="986" t="str">
        <f t="shared" si="55"/>
        <v>N/A</v>
      </c>
      <c r="K123" s="986" t="str">
        <f t="shared" si="55"/>
        <v>N/A</v>
      </c>
      <c r="L123" s="986" t="str">
        <f t="shared" si="55"/>
        <v>N/A</v>
      </c>
      <c r="M123" s="986" t="str">
        <f t="shared" si="55"/>
        <v>N/A</v>
      </c>
      <c r="N123" s="986">
        <f t="shared" si="55"/>
        <v>-0.13</v>
      </c>
      <c r="O123" s="986">
        <f t="shared" si="55"/>
        <v>-0.09</v>
      </c>
      <c r="P123" s="986">
        <f t="shared" si="55"/>
        <v>-4.2500000000000003E-2</v>
      </c>
      <c r="Q123" s="986">
        <f t="shared" si="55"/>
        <v>2.5000000000000001E-3</v>
      </c>
      <c r="R123" s="986">
        <f t="shared" si="55"/>
        <v>0.05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987">
        <v>0.5</v>
      </c>
      <c r="E124" s="988" t="s">
        <v>310</v>
      </c>
      <c r="F124" s="4"/>
      <c r="G124" s="18" t="s">
        <v>326</v>
      </c>
      <c r="H124" s="986" t="e">
        <f t="shared" ref="H124:R124" si="56">IF(H116&lt;$D$124,$E$124,H51/H4)</f>
        <v>#DIV/0!</v>
      </c>
      <c r="I124" s="986" t="e">
        <f t="shared" si="56"/>
        <v>#DIV/0!</v>
      </c>
      <c r="J124" s="986" t="str">
        <f t="shared" si="56"/>
        <v>N/A</v>
      </c>
      <c r="K124" s="986" t="str">
        <f t="shared" si="56"/>
        <v>N/A</v>
      </c>
      <c r="L124" s="986" t="str">
        <f t="shared" si="56"/>
        <v>N/A</v>
      </c>
      <c r="M124" s="986" t="str">
        <f t="shared" si="56"/>
        <v>N/A</v>
      </c>
      <c r="N124" s="986">
        <f t="shared" si="56"/>
        <v>-0.94545454545454544</v>
      </c>
      <c r="O124" s="986">
        <f t="shared" si="56"/>
        <v>-0.70588235294117652</v>
      </c>
      <c r="P124" s="986">
        <f t="shared" si="56"/>
        <v>-0.34693877551020408</v>
      </c>
      <c r="Q124" s="986">
        <f t="shared" si="56"/>
        <v>2.1276595744680851E-2</v>
      </c>
      <c r="R124" s="986">
        <f t="shared" si="56"/>
        <v>0.44444444444444442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987">
        <v>0.5</v>
      </c>
      <c r="E125" s="988" t="s">
        <v>310</v>
      </c>
      <c r="F125" s="4"/>
      <c r="G125" s="186" t="s">
        <v>330</v>
      </c>
      <c r="H125" s="986" t="e">
        <f t="shared" ref="H125:R125" si="57">IF(H116&lt;$D$125,$E$125,H51/H27)</f>
        <v>#DIV/0!</v>
      </c>
      <c r="I125" s="986" t="e">
        <f t="shared" si="57"/>
        <v>#DIV/0!</v>
      </c>
      <c r="J125" s="986" t="str">
        <f t="shared" si="57"/>
        <v>N/A</v>
      </c>
      <c r="K125" s="986" t="str">
        <f t="shared" si="57"/>
        <v>N/A</v>
      </c>
      <c r="L125" s="986" t="str">
        <f t="shared" si="57"/>
        <v>N/A</v>
      </c>
      <c r="M125" s="986" t="str">
        <f t="shared" si="57"/>
        <v>N/A</v>
      </c>
      <c r="N125" s="986">
        <f t="shared" si="57"/>
        <v>-10.4</v>
      </c>
      <c r="O125" s="986">
        <f t="shared" si="57"/>
        <v>-36</v>
      </c>
      <c r="P125" s="986">
        <f t="shared" si="57"/>
        <v>17</v>
      </c>
      <c r="Q125" s="986">
        <f t="shared" si="57"/>
        <v>-0.33333333333333331</v>
      </c>
      <c r="R125" s="986">
        <f t="shared" si="57"/>
        <v>-4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972">
        <f>H119</f>
        <v>2011</v>
      </c>
      <c r="I127" s="972">
        <f t="shared" ref="I127:R127" si="58">I119</f>
        <v>2012</v>
      </c>
      <c r="J127" s="972">
        <f t="shared" si="58"/>
        <v>2013</v>
      </c>
      <c r="K127" s="972">
        <f t="shared" si="58"/>
        <v>2014</v>
      </c>
      <c r="L127" s="972">
        <f t="shared" si="58"/>
        <v>2015</v>
      </c>
      <c r="M127" s="972">
        <f t="shared" si="58"/>
        <v>2016</v>
      </c>
      <c r="N127" s="972">
        <f t="shared" si="58"/>
        <v>2017</v>
      </c>
      <c r="O127" s="972">
        <f t="shared" si="58"/>
        <v>2018</v>
      </c>
      <c r="P127" s="972">
        <f t="shared" si="58"/>
        <v>2019</v>
      </c>
      <c r="Q127" s="972">
        <f t="shared" si="58"/>
        <v>2020</v>
      </c>
      <c r="R127" s="972">
        <f t="shared" si="58"/>
        <v>2021</v>
      </c>
    </row>
    <row r="128" spans="1:19" x14ac:dyDescent="0.2">
      <c r="G128" s="989" t="s">
        <v>331</v>
      </c>
      <c r="H128" s="990">
        <f t="shared" ref="H128:R128" si="59">H33</f>
        <v>0</v>
      </c>
      <c r="I128" s="990">
        <f t="shared" si="59"/>
        <v>0</v>
      </c>
      <c r="J128" s="990">
        <f t="shared" si="59"/>
        <v>1353.327</v>
      </c>
      <c r="K128" s="990">
        <f t="shared" si="59"/>
        <v>1679.8530000000001</v>
      </c>
      <c r="L128" s="990">
        <f t="shared" si="59"/>
        <v>2347.3310000000001</v>
      </c>
      <c r="M128" s="990">
        <f t="shared" si="59"/>
        <v>1875</v>
      </c>
      <c r="N128" s="990">
        <f t="shared" si="59"/>
        <v>2000</v>
      </c>
      <c r="O128" s="990">
        <f t="shared" si="59"/>
        <v>2000</v>
      </c>
      <c r="P128" s="990">
        <f t="shared" si="59"/>
        <v>2000</v>
      </c>
      <c r="Q128" s="990">
        <f t="shared" si="59"/>
        <v>2000</v>
      </c>
      <c r="R128" s="990">
        <f t="shared" si="59"/>
        <v>2000</v>
      </c>
    </row>
    <row r="129" spans="3:19" x14ac:dyDescent="0.2">
      <c r="G129" s="989" t="s">
        <v>332</v>
      </c>
      <c r="H129" s="990">
        <f t="shared" ref="H129:R130" si="60">H35</f>
        <v>0</v>
      </c>
      <c r="I129" s="990">
        <f t="shared" si="60"/>
        <v>0</v>
      </c>
      <c r="J129" s="990">
        <f t="shared" si="60"/>
        <v>409.57</v>
      </c>
      <c r="K129" s="990">
        <f t="shared" si="60"/>
        <v>709.9</v>
      </c>
      <c r="L129" s="990">
        <f t="shared" si="60"/>
        <v>1018.159</v>
      </c>
      <c r="M129" s="990">
        <f t="shared" si="60"/>
        <v>753</v>
      </c>
      <c r="N129" s="990">
        <f t="shared" si="60"/>
        <v>1000</v>
      </c>
      <c r="O129" s="990">
        <f t="shared" si="60"/>
        <v>1000</v>
      </c>
      <c r="P129" s="990">
        <f t="shared" si="60"/>
        <v>1000</v>
      </c>
      <c r="Q129" s="990">
        <f t="shared" si="60"/>
        <v>1000</v>
      </c>
      <c r="R129" s="990">
        <f t="shared" si="60"/>
        <v>1000</v>
      </c>
    </row>
    <row r="130" spans="3:19" x14ac:dyDescent="0.2">
      <c r="G130" s="989" t="s">
        <v>333</v>
      </c>
      <c r="H130" s="990">
        <f t="shared" si="60"/>
        <v>0</v>
      </c>
      <c r="I130" s="990">
        <f t="shared" si="60"/>
        <v>0</v>
      </c>
      <c r="J130" s="990">
        <f t="shared" si="60"/>
        <v>943.93</v>
      </c>
      <c r="K130" s="990">
        <f t="shared" si="60"/>
        <v>969.95299999999997</v>
      </c>
      <c r="L130" s="990">
        <f t="shared" si="60"/>
        <v>1329.172</v>
      </c>
      <c r="M130" s="990">
        <f t="shared" si="60"/>
        <v>1122</v>
      </c>
      <c r="N130" s="990">
        <f t="shared" si="60"/>
        <v>1000</v>
      </c>
      <c r="O130" s="990">
        <f t="shared" si="60"/>
        <v>1000</v>
      </c>
      <c r="P130" s="990">
        <f t="shared" si="60"/>
        <v>1000</v>
      </c>
      <c r="Q130" s="990">
        <f t="shared" si="60"/>
        <v>1000</v>
      </c>
      <c r="R130" s="990">
        <f t="shared" si="60"/>
        <v>1000</v>
      </c>
    </row>
    <row r="131" spans="3:19" x14ac:dyDescent="0.2">
      <c r="G131" s="989" t="s">
        <v>334</v>
      </c>
      <c r="H131" s="990">
        <f t="shared" ref="H131:R131" si="61">H38+H41</f>
        <v>0</v>
      </c>
      <c r="I131" s="990">
        <f t="shared" si="61"/>
        <v>0</v>
      </c>
      <c r="J131" s="990">
        <f t="shared" si="61"/>
        <v>-1437.222</v>
      </c>
      <c r="K131" s="990">
        <f t="shared" si="61"/>
        <v>-1700.405</v>
      </c>
      <c r="L131" s="990">
        <f t="shared" si="61"/>
        <v>-2089.8809999999999</v>
      </c>
      <c r="M131" s="990">
        <f t="shared" si="61"/>
        <v>-2205</v>
      </c>
      <c r="N131" s="990">
        <f t="shared" si="61"/>
        <v>-1930</v>
      </c>
      <c r="O131" s="990">
        <f t="shared" si="61"/>
        <v>-1920</v>
      </c>
      <c r="P131" s="990">
        <f t="shared" si="61"/>
        <v>-1915</v>
      </c>
      <c r="Q131" s="990">
        <f t="shared" si="61"/>
        <v>-1910</v>
      </c>
      <c r="R131" s="990">
        <f t="shared" si="61"/>
        <v>-1905</v>
      </c>
    </row>
    <row r="132" spans="3:19" x14ac:dyDescent="0.2">
      <c r="G132" s="989" t="s">
        <v>335</v>
      </c>
      <c r="H132" s="990">
        <f t="shared" ref="H132:R132" si="62">H41</f>
        <v>0</v>
      </c>
      <c r="I132" s="990">
        <f t="shared" si="62"/>
        <v>0</v>
      </c>
      <c r="J132" s="990">
        <f t="shared" si="62"/>
        <v>-1375.5509999999999</v>
      </c>
      <c r="K132" s="990">
        <f t="shared" si="62"/>
        <v>-1700.405</v>
      </c>
      <c r="L132" s="990">
        <f t="shared" si="62"/>
        <v>-2089.8809999999999</v>
      </c>
      <c r="M132" s="990">
        <f t="shared" si="62"/>
        <v>-2205</v>
      </c>
      <c r="N132" s="990">
        <f t="shared" si="62"/>
        <v>-1930</v>
      </c>
      <c r="O132" s="990">
        <f t="shared" si="62"/>
        <v>-1920</v>
      </c>
      <c r="P132" s="990">
        <f t="shared" si="62"/>
        <v>-1915</v>
      </c>
      <c r="Q132" s="990">
        <f t="shared" si="62"/>
        <v>-1910</v>
      </c>
      <c r="R132" s="990">
        <f t="shared" si="62"/>
        <v>-1905</v>
      </c>
    </row>
    <row r="133" spans="3:19" x14ac:dyDescent="0.2">
      <c r="G133" s="989" t="s">
        <v>336</v>
      </c>
      <c r="H133" s="990">
        <f t="shared" ref="H133:R133" si="63">H38</f>
        <v>0</v>
      </c>
      <c r="I133" s="990">
        <f t="shared" si="63"/>
        <v>0</v>
      </c>
      <c r="J133" s="990">
        <f t="shared" si="63"/>
        <v>-61.670999999999999</v>
      </c>
      <c r="K133" s="990">
        <f t="shared" si="63"/>
        <v>0</v>
      </c>
      <c r="L133" s="990">
        <f t="shared" si="63"/>
        <v>0</v>
      </c>
      <c r="M133" s="990">
        <f t="shared" si="63"/>
        <v>0</v>
      </c>
      <c r="N133" s="990">
        <f t="shared" si="63"/>
        <v>0</v>
      </c>
      <c r="O133" s="990">
        <f t="shared" si="63"/>
        <v>0</v>
      </c>
      <c r="P133" s="990">
        <f t="shared" si="63"/>
        <v>0</v>
      </c>
      <c r="Q133" s="990">
        <f t="shared" si="63"/>
        <v>0</v>
      </c>
      <c r="R133" s="990">
        <f t="shared" si="63"/>
        <v>0</v>
      </c>
    </row>
    <row r="134" spans="3:19" x14ac:dyDescent="0.2">
      <c r="G134" s="989" t="s">
        <v>337</v>
      </c>
      <c r="H134" s="990">
        <f t="shared" ref="H134:R134" si="64">H46</f>
        <v>0</v>
      </c>
      <c r="I134" s="990">
        <f t="shared" si="64"/>
        <v>0</v>
      </c>
      <c r="J134" s="990">
        <f t="shared" si="64"/>
        <v>-83.894999999999982</v>
      </c>
      <c r="K134" s="990">
        <f t="shared" si="64"/>
        <v>-20.551999999999907</v>
      </c>
      <c r="L134" s="990">
        <f t="shared" si="64"/>
        <v>257.45000000000027</v>
      </c>
      <c r="M134" s="990">
        <f t="shared" si="64"/>
        <v>-330</v>
      </c>
      <c r="N134" s="990">
        <f t="shared" si="64"/>
        <v>70</v>
      </c>
      <c r="O134" s="990">
        <f t="shared" si="64"/>
        <v>80</v>
      </c>
      <c r="P134" s="990">
        <f t="shared" si="64"/>
        <v>85</v>
      </c>
      <c r="Q134" s="990">
        <f t="shared" si="64"/>
        <v>90</v>
      </c>
      <c r="R134" s="990">
        <f t="shared" si="64"/>
        <v>95</v>
      </c>
    </row>
    <row r="135" spans="3:19" x14ac:dyDescent="0.2">
      <c r="G135" s="989" t="s">
        <v>338</v>
      </c>
      <c r="H135" s="990">
        <f t="shared" ref="H135:R135" si="65">H51</f>
        <v>0</v>
      </c>
      <c r="I135" s="990">
        <f t="shared" si="65"/>
        <v>0</v>
      </c>
      <c r="J135" s="990">
        <f t="shared" si="65"/>
        <v>-83.995999999999981</v>
      </c>
      <c r="K135" s="990">
        <f t="shared" si="65"/>
        <v>-20.551999999999907</v>
      </c>
      <c r="L135" s="990">
        <f t="shared" si="65"/>
        <v>257.99200000000025</v>
      </c>
      <c r="M135" s="990">
        <f t="shared" si="65"/>
        <v>-330</v>
      </c>
      <c r="N135" s="990">
        <f t="shared" si="65"/>
        <v>-260</v>
      </c>
      <c r="O135" s="990">
        <f t="shared" si="65"/>
        <v>-180</v>
      </c>
      <c r="P135" s="990">
        <f t="shared" si="65"/>
        <v>-85</v>
      </c>
      <c r="Q135" s="990">
        <f t="shared" si="65"/>
        <v>5</v>
      </c>
      <c r="R135" s="990">
        <f t="shared" si="65"/>
        <v>100</v>
      </c>
    </row>
    <row r="136" spans="3:19" x14ac:dyDescent="0.2">
      <c r="G136" s="989" t="s">
        <v>339</v>
      </c>
      <c r="H136" s="990">
        <f t="shared" ref="H136:R137" si="66">H4</f>
        <v>0</v>
      </c>
      <c r="I136" s="990">
        <f t="shared" si="66"/>
        <v>87.119</v>
      </c>
      <c r="J136" s="990">
        <f t="shared" si="66"/>
        <v>272.86899999999997</v>
      </c>
      <c r="K136" s="990">
        <f t="shared" si="66"/>
        <v>454.71899999999999</v>
      </c>
      <c r="L136" s="990">
        <f t="shared" si="66"/>
        <v>467.31800000000004</v>
      </c>
      <c r="M136" s="990">
        <f t="shared" si="66"/>
        <v>229</v>
      </c>
      <c r="N136" s="990">
        <f t="shared" si="66"/>
        <v>275</v>
      </c>
      <c r="O136" s="990">
        <f t="shared" si="66"/>
        <v>255</v>
      </c>
      <c r="P136" s="990">
        <f t="shared" si="66"/>
        <v>245</v>
      </c>
      <c r="Q136" s="990">
        <f t="shared" si="66"/>
        <v>235</v>
      </c>
      <c r="R136" s="990">
        <f t="shared" si="66"/>
        <v>225</v>
      </c>
    </row>
    <row r="137" spans="3:19" x14ac:dyDescent="0.2">
      <c r="G137" s="989" t="s">
        <v>340</v>
      </c>
      <c r="H137" s="990">
        <f t="shared" si="66"/>
        <v>0</v>
      </c>
      <c r="I137" s="990">
        <f t="shared" si="66"/>
        <v>0</v>
      </c>
      <c r="J137" s="990">
        <f t="shared" si="66"/>
        <v>198.15199999999999</v>
      </c>
      <c r="K137" s="990">
        <f t="shared" si="66"/>
        <v>341.613</v>
      </c>
      <c r="L137" s="990">
        <f t="shared" si="66"/>
        <v>389.41900000000004</v>
      </c>
      <c r="M137" s="990">
        <f t="shared" si="66"/>
        <v>171</v>
      </c>
      <c r="N137" s="990">
        <f t="shared" si="66"/>
        <v>205</v>
      </c>
      <c r="O137" s="990">
        <f t="shared" si="66"/>
        <v>205</v>
      </c>
      <c r="P137" s="990">
        <f t="shared" si="66"/>
        <v>205</v>
      </c>
      <c r="Q137" s="990">
        <f t="shared" si="66"/>
        <v>205</v>
      </c>
      <c r="R137" s="990">
        <f t="shared" si="66"/>
        <v>205</v>
      </c>
    </row>
    <row r="138" spans="3:19" x14ac:dyDescent="0.2">
      <c r="G138" s="989" t="s">
        <v>341</v>
      </c>
      <c r="H138" s="990">
        <f t="shared" ref="H138:R138" si="67">H10</f>
        <v>0</v>
      </c>
      <c r="I138" s="990">
        <f t="shared" si="67"/>
        <v>87.119</v>
      </c>
      <c r="J138" s="990">
        <f t="shared" si="67"/>
        <v>74.716999999999999</v>
      </c>
      <c r="K138" s="990">
        <f t="shared" si="67"/>
        <v>113.10599999999999</v>
      </c>
      <c r="L138" s="990">
        <f t="shared" si="67"/>
        <v>77.899000000000001</v>
      </c>
      <c r="M138" s="990">
        <f t="shared" si="67"/>
        <v>58</v>
      </c>
      <c r="N138" s="990">
        <f t="shared" si="67"/>
        <v>70</v>
      </c>
      <c r="O138" s="990">
        <f t="shared" si="67"/>
        <v>50</v>
      </c>
      <c r="P138" s="990">
        <f t="shared" si="67"/>
        <v>40</v>
      </c>
      <c r="Q138" s="990">
        <f t="shared" si="67"/>
        <v>30</v>
      </c>
      <c r="R138" s="990">
        <f t="shared" si="67"/>
        <v>20</v>
      </c>
    </row>
    <row r="139" spans="3:19" x14ac:dyDescent="0.2">
      <c r="G139" s="989" t="s">
        <v>342</v>
      </c>
      <c r="H139" s="990">
        <f t="shared" ref="H139:R140" si="68">H19</f>
        <v>0</v>
      </c>
      <c r="I139" s="990">
        <f t="shared" si="68"/>
        <v>0</v>
      </c>
      <c r="J139" s="990">
        <f t="shared" si="68"/>
        <v>249.047</v>
      </c>
      <c r="K139" s="990">
        <f t="shared" si="68"/>
        <v>451.44799999999998</v>
      </c>
      <c r="L139" s="990">
        <f t="shared" si="68"/>
        <v>206.05600000000001</v>
      </c>
      <c r="M139" s="990">
        <f t="shared" si="68"/>
        <v>298</v>
      </c>
      <c r="N139" s="990">
        <f t="shared" si="68"/>
        <v>250</v>
      </c>
      <c r="O139" s="990">
        <f t="shared" si="68"/>
        <v>250</v>
      </c>
      <c r="P139" s="990">
        <f t="shared" si="68"/>
        <v>250</v>
      </c>
      <c r="Q139" s="990">
        <f t="shared" si="68"/>
        <v>250</v>
      </c>
      <c r="R139" s="990">
        <f t="shared" si="68"/>
        <v>250</v>
      </c>
    </row>
    <row r="140" spans="3:19" x14ac:dyDescent="0.2">
      <c r="G140" s="989" t="s">
        <v>343</v>
      </c>
      <c r="H140" s="990">
        <f t="shared" si="68"/>
        <v>0</v>
      </c>
      <c r="I140" s="990">
        <f t="shared" si="68"/>
        <v>0</v>
      </c>
      <c r="J140" s="990">
        <f t="shared" si="68"/>
        <v>249.047</v>
      </c>
      <c r="K140" s="990">
        <f t="shared" si="68"/>
        <v>451.44799999999998</v>
      </c>
      <c r="L140" s="990">
        <f t="shared" si="68"/>
        <v>206.05600000000001</v>
      </c>
      <c r="M140" s="990">
        <f t="shared" si="68"/>
        <v>298</v>
      </c>
      <c r="N140" s="990">
        <f t="shared" si="68"/>
        <v>250</v>
      </c>
      <c r="O140" s="990">
        <f t="shared" si="68"/>
        <v>250</v>
      </c>
      <c r="P140" s="990">
        <f t="shared" si="68"/>
        <v>250</v>
      </c>
      <c r="Q140" s="990">
        <f t="shared" si="68"/>
        <v>250</v>
      </c>
      <c r="R140" s="990">
        <f t="shared" si="68"/>
        <v>250</v>
      </c>
    </row>
    <row r="141" spans="3:19" x14ac:dyDescent="0.2">
      <c r="G141" s="989" t="s">
        <v>344</v>
      </c>
      <c r="H141" s="990">
        <f t="shared" ref="H141:R141" si="69">H24</f>
        <v>0</v>
      </c>
      <c r="I141" s="990">
        <f t="shared" si="69"/>
        <v>0</v>
      </c>
      <c r="J141" s="990">
        <f t="shared" si="69"/>
        <v>0</v>
      </c>
      <c r="K141" s="990">
        <f t="shared" si="69"/>
        <v>0</v>
      </c>
      <c r="L141" s="990">
        <f t="shared" si="69"/>
        <v>0</v>
      </c>
      <c r="M141" s="990">
        <f t="shared" si="69"/>
        <v>0</v>
      </c>
      <c r="N141" s="990">
        <f t="shared" si="69"/>
        <v>0</v>
      </c>
      <c r="O141" s="990">
        <f t="shared" si="69"/>
        <v>0</v>
      </c>
      <c r="P141" s="990">
        <f t="shared" si="69"/>
        <v>0</v>
      </c>
      <c r="Q141" s="990">
        <f t="shared" si="69"/>
        <v>0</v>
      </c>
      <c r="R141" s="990">
        <f t="shared" si="69"/>
        <v>0</v>
      </c>
    </row>
    <row r="142" spans="3:19" x14ac:dyDescent="0.2">
      <c r="G142" s="989" t="s">
        <v>345</v>
      </c>
      <c r="H142" s="990">
        <f t="shared" ref="H142:R142" si="70">H27</f>
        <v>0</v>
      </c>
      <c r="I142" s="990">
        <f t="shared" si="70"/>
        <v>87.119</v>
      </c>
      <c r="J142" s="990">
        <f t="shared" si="70"/>
        <v>23.823000000000008</v>
      </c>
      <c r="K142" s="990">
        <f t="shared" si="70"/>
        <v>3.2710000000000008</v>
      </c>
      <c r="L142" s="990">
        <f t="shared" si="70"/>
        <v>261.262</v>
      </c>
      <c r="M142" s="990">
        <f t="shared" si="70"/>
        <v>-69</v>
      </c>
      <c r="N142" s="990">
        <f t="shared" si="70"/>
        <v>25</v>
      </c>
      <c r="O142" s="990">
        <f t="shared" si="70"/>
        <v>5</v>
      </c>
      <c r="P142" s="990">
        <f t="shared" si="70"/>
        <v>-5</v>
      </c>
      <c r="Q142" s="990">
        <f t="shared" si="70"/>
        <v>-15</v>
      </c>
      <c r="R142" s="990">
        <f t="shared" si="70"/>
        <v>-25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463" priority="51" stopIfTrue="1" operator="greaterThan">
      <formula>$E$116</formula>
    </cfRule>
    <cfRule type="cellIs" dxfId="462" priority="52" stopIfTrue="1" operator="lessThanOrEqual">
      <formula>$E$116</formula>
    </cfRule>
  </conditionalFormatting>
  <conditionalFormatting sqref="H118:Q118">
    <cfRule type="cellIs" dxfId="461" priority="49" stopIfTrue="1" operator="lessThanOrEqual">
      <formula>$E$118</formula>
    </cfRule>
    <cfRule type="cellIs" dxfId="460" priority="50" stopIfTrue="1" operator="greaterThan">
      <formula>$E$118</formula>
    </cfRule>
  </conditionalFormatting>
  <conditionalFormatting sqref="H99:Q99">
    <cfRule type="cellIs" dxfId="459" priority="47" operator="greaterThan">
      <formula>$E$99</formula>
    </cfRule>
    <cfRule type="cellIs" dxfId="458" priority="48" operator="lessThanOrEqual">
      <formula>$E$99</formula>
    </cfRule>
  </conditionalFormatting>
  <conditionalFormatting sqref="H102:Q102">
    <cfRule type="cellIs" dxfId="457" priority="45" stopIfTrue="1" operator="greaterThanOrEqual">
      <formula>$E$102</formula>
    </cfRule>
    <cfRule type="cellIs" dxfId="456" priority="46" stopIfTrue="1" operator="lessThan">
      <formula>$E$102</formula>
    </cfRule>
  </conditionalFormatting>
  <conditionalFormatting sqref="H104:Q104">
    <cfRule type="cellIs" dxfId="455" priority="43" stopIfTrue="1" operator="lessThan">
      <formula>$E$104</formula>
    </cfRule>
    <cfRule type="cellIs" dxfId="454" priority="44" stopIfTrue="1" operator="greaterThanOrEqual">
      <formula>$E$104</formula>
    </cfRule>
  </conditionalFormatting>
  <conditionalFormatting sqref="H103:Q103">
    <cfRule type="cellIs" dxfId="453" priority="41" stopIfTrue="1" operator="greaterThan">
      <formula>$E$103</formula>
    </cfRule>
    <cfRule type="cellIs" dxfId="452" priority="42" stopIfTrue="1" operator="lessThanOrEqual">
      <formula>$E$103</formula>
    </cfRule>
  </conditionalFormatting>
  <conditionalFormatting sqref="H100:Q100">
    <cfRule type="cellIs" dxfId="451" priority="30" stopIfTrue="1" operator="between">
      <formula>$D$100</formula>
      <formula>$E$100</formula>
    </cfRule>
    <cfRule type="cellIs" dxfId="450" priority="39" stopIfTrue="1" operator="lessThanOrEqual">
      <formula>$D$100</formula>
    </cfRule>
    <cfRule type="cellIs" dxfId="449" priority="40" stopIfTrue="1" operator="greaterThan">
      <formula>$E$100</formula>
    </cfRule>
  </conditionalFormatting>
  <conditionalFormatting sqref="H117:Q117">
    <cfRule type="cellIs" dxfId="448" priority="37" stopIfTrue="1" operator="greaterThan">
      <formula>$E$117</formula>
    </cfRule>
    <cfRule type="cellIs" dxfId="447" priority="38" stopIfTrue="1" operator="lessThanOrEqual">
      <formula>$E$117</formula>
    </cfRule>
  </conditionalFormatting>
  <conditionalFormatting sqref="H107:Q107">
    <cfRule type="cellIs" dxfId="446" priority="35" stopIfTrue="1" operator="greaterThan">
      <formula>$E$107</formula>
    </cfRule>
    <cfRule type="cellIs" dxfId="445" priority="36" stopIfTrue="1" operator="lessThanOrEqual">
      <formula>$E$107</formula>
    </cfRule>
  </conditionalFormatting>
  <conditionalFormatting sqref="H108:Q108">
    <cfRule type="cellIs" dxfId="444" priority="33" stopIfTrue="1" operator="lessThan">
      <formula>$E$108</formula>
    </cfRule>
    <cfRule type="cellIs" dxfId="443" priority="34" stopIfTrue="1" operator="greaterThanOrEqual">
      <formula>$E$108</formula>
    </cfRule>
  </conditionalFormatting>
  <conditionalFormatting sqref="H93:Q93">
    <cfRule type="cellIs" dxfId="442" priority="53" stopIfTrue="1" operator="lessThan">
      <formula>$D$93</formula>
    </cfRule>
    <cfRule type="cellIs" dxfId="441" priority="54" stopIfTrue="1" operator="between">
      <formula>$D$93</formula>
      <formula>$E$93</formula>
    </cfRule>
    <cfRule type="cellIs" dxfId="440" priority="55" stopIfTrue="1" operator="greaterThan">
      <formula>$E$93</formula>
    </cfRule>
  </conditionalFormatting>
  <conditionalFormatting sqref="H114:Q114">
    <cfRule type="cellIs" dxfId="439" priority="56" stopIfTrue="1" operator="lessThan">
      <formula>$E$114</formula>
    </cfRule>
    <cfRule type="cellIs" dxfId="438" priority="57" stopIfTrue="1" operator="between">
      <formula>$D$114</formula>
      <formula>$E$114</formula>
    </cfRule>
    <cfRule type="cellIs" dxfId="437" priority="58" stopIfTrue="1" operator="greaterThanOrEqual">
      <formula>$D$114</formula>
    </cfRule>
  </conditionalFormatting>
  <conditionalFormatting sqref="H90:Q90">
    <cfRule type="cellIs" dxfId="436" priority="31" stopIfTrue="1" operator="lessThan">
      <formula>$E$90</formula>
    </cfRule>
    <cfRule type="cellIs" dxfId="435" priority="32" stopIfTrue="1" operator="greaterThan">
      <formula>$E$90</formula>
    </cfRule>
  </conditionalFormatting>
  <conditionalFormatting sqref="R116">
    <cfRule type="cellIs" dxfId="434" priority="22" stopIfTrue="1" operator="greaterThan">
      <formula>$E$116</formula>
    </cfRule>
    <cfRule type="cellIs" dxfId="433" priority="23" stopIfTrue="1" operator="lessThanOrEqual">
      <formula>$E$116</formula>
    </cfRule>
  </conditionalFormatting>
  <conditionalFormatting sqref="R118">
    <cfRule type="cellIs" dxfId="432" priority="20" stopIfTrue="1" operator="lessThanOrEqual">
      <formula>$E$118</formula>
    </cfRule>
    <cfRule type="cellIs" dxfId="431" priority="21" stopIfTrue="1" operator="greaterThan">
      <formula>$E$118</formula>
    </cfRule>
  </conditionalFormatting>
  <conditionalFormatting sqref="R99">
    <cfRule type="cellIs" dxfId="430" priority="18" operator="greaterThan">
      <formula>$E$99</formula>
    </cfRule>
    <cfRule type="cellIs" dxfId="429" priority="19" operator="lessThanOrEqual">
      <formula>$E$99</formula>
    </cfRule>
  </conditionalFormatting>
  <conditionalFormatting sqref="R102">
    <cfRule type="cellIs" dxfId="428" priority="16" stopIfTrue="1" operator="greaterThanOrEqual">
      <formula>$E$102</formula>
    </cfRule>
    <cfRule type="cellIs" dxfId="427" priority="17" stopIfTrue="1" operator="lessThan">
      <formula>$E$102</formula>
    </cfRule>
  </conditionalFormatting>
  <conditionalFormatting sqref="R104">
    <cfRule type="cellIs" dxfId="426" priority="14" stopIfTrue="1" operator="lessThan">
      <formula>$E$104</formula>
    </cfRule>
    <cfRule type="cellIs" dxfId="425" priority="15" stopIfTrue="1" operator="greaterThanOrEqual">
      <formula>$E$104</formula>
    </cfRule>
  </conditionalFormatting>
  <conditionalFormatting sqref="R103">
    <cfRule type="cellIs" dxfId="424" priority="12" stopIfTrue="1" operator="greaterThan">
      <formula>$E$103</formula>
    </cfRule>
    <cfRule type="cellIs" dxfId="423" priority="13" stopIfTrue="1" operator="lessThanOrEqual">
      <formula>$E$103</formula>
    </cfRule>
  </conditionalFormatting>
  <conditionalFormatting sqref="R100">
    <cfRule type="cellIs" dxfId="422" priority="1" stopIfTrue="1" operator="between">
      <formula>$D$100</formula>
      <formula>$E$100</formula>
    </cfRule>
    <cfRule type="cellIs" dxfId="421" priority="10" stopIfTrue="1" operator="lessThanOrEqual">
      <formula>$D$100</formula>
    </cfRule>
    <cfRule type="cellIs" dxfId="420" priority="11" stopIfTrue="1" operator="greaterThan">
      <formula>$E$100</formula>
    </cfRule>
  </conditionalFormatting>
  <conditionalFormatting sqref="R117">
    <cfRule type="cellIs" dxfId="419" priority="8" stopIfTrue="1" operator="greaterThan">
      <formula>$E$117</formula>
    </cfRule>
    <cfRule type="cellIs" dxfId="418" priority="9" stopIfTrue="1" operator="lessThanOrEqual">
      <formula>$E$117</formula>
    </cfRule>
  </conditionalFormatting>
  <conditionalFormatting sqref="R107">
    <cfRule type="cellIs" dxfId="417" priority="6" stopIfTrue="1" operator="greaterThan">
      <formula>$E$107</formula>
    </cfRule>
    <cfRule type="cellIs" dxfId="416" priority="7" stopIfTrue="1" operator="lessThanOrEqual">
      <formula>$E$107</formula>
    </cfRule>
  </conditionalFormatting>
  <conditionalFormatting sqref="R108">
    <cfRule type="cellIs" dxfId="415" priority="4" stopIfTrue="1" operator="lessThan">
      <formula>$E$108</formula>
    </cfRule>
    <cfRule type="cellIs" dxfId="414" priority="5" stopIfTrue="1" operator="greaterThanOrEqual">
      <formula>$E$108</formula>
    </cfRule>
  </conditionalFormatting>
  <conditionalFormatting sqref="R93">
    <cfRule type="cellIs" dxfId="413" priority="24" stopIfTrue="1" operator="lessThan">
      <formula>$D$93</formula>
    </cfRule>
    <cfRule type="cellIs" dxfId="412" priority="25" stopIfTrue="1" operator="between">
      <formula>$D$93</formula>
      <formula>$E$93</formula>
    </cfRule>
    <cfRule type="cellIs" dxfId="411" priority="26" stopIfTrue="1" operator="greaterThan">
      <formula>$E$93</formula>
    </cfRule>
  </conditionalFormatting>
  <conditionalFormatting sqref="R114">
    <cfRule type="cellIs" dxfId="410" priority="27" stopIfTrue="1" operator="lessThan">
      <formula>$E$114</formula>
    </cfRule>
    <cfRule type="cellIs" dxfId="409" priority="28" stopIfTrue="1" operator="between">
      <formula>$D$114</formula>
      <formula>$E$114</formula>
    </cfRule>
    <cfRule type="cellIs" dxfId="408" priority="29" stopIfTrue="1" operator="greaterThanOrEqual">
      <formula>$D$114</formula>
    </cfRule>
  </conditionalFormatting>
  <conditionalFormatting sqref="R90">
    <cfRule type="cellIs" dxfId="407" priority="2" stopIfTrue="1" operator="lessThan">
      <formula>$E$90</formula>
    </cfRule>
    <cfRule type="cellIs" dxfId="406" priority="3" stopIfTrue="1" operator="greaterThan">
      <formula>$E$90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22.14062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18.570312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18.570312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18.570312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18.570312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18.570312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18.570312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18.570312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18.570312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18.570312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18.570312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18.570312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18.570312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18.570312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18.570312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18.570312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18.570312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18.570312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18.570312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18.570312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18.570312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18.570312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18.570312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18.570312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18.570312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18.570312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18.570312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18.570312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18.570312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18.570312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18.570312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18.570312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18.570312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18.570312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18.570312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18.570312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18.570312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18.570312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18.570312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18.570312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18.570312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18.570312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18.570312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18.570312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18.570312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18.570312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18.570312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18.570312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18.570312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18.570312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18.570312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18.570312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18.570312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18.570312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18.570312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18.570312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18.570312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18.570312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18.570312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18.570312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18.570312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18.570312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18.570312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18.570312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402" t="s">
        <v>445</v>
      </c>
      <c r="H2" s="403" t="s">
        <v>446</v>
      </c>
      <c r="I2" s="404"/>
      <c r="J2" s="405"/>
      <c r="K2" s="1309" t="s">
        <v>6</v>
      </c>
      <c r="L2" s="1310"/>
      <c r="M2" s="1311" t="s">
        <v>447</v>
      </c>
      <c r="N2" s="1312"/>
      <c r="O2" s="1312"/>
      <c r="P2" s="1312"/>
      <c r="Q2" s="1312"/>
      <c r="R2" s="1313"/>
    </row>
    <row r="3" spans="1:18" x14ac:dyDescent="0.2">
      <c r="A3" s="1"/>
      <c r="B3" s="10"/>
      <c r="C3" s="3"/>
      <c r="D3" s="3"/>
      <c r="E3" s="1"/>
      <c r="F3" s="1"/>
      <c r="G3" s="406" t="s">
        <v>7</v>
      </c>
      <c r="H3" s="407">
        <v>40908</v>
      </c>
      <c r="I3" s="407">
        <v>41274</v>
      </c>
      <c r="J3" s="407">
        <v>41639</v>
      </c>
      <c r="K3" s="407">
        <v>42004</v>
      </c>
      <c r="L3" s="407">
        <v>42369</v>
      </c>
      <c r="M3" s="407">
        <v>42735</v>
      </c>
      <c r="N3" s="407">
        <v>43100</v>
      </c>
      <c r="O3" s="407">
        <v>43465</v>
      </c>
      <c r="P3" s="407">
        <v>43830</v>
      </c>
      <c r="Q3" s="407">
        <v>44196</v>
      </c>
      <c r="R3" s="407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408" t="s">
        <v>9</v>
      </c>
      <c r="H4" s="409">
        <f t="shared" ref="H4:R4" si="0">H5+H10</f>
        <v>7240.9639999999999</v>
      </c>
      <c r="I4" s="409">
        <f t="shared" si="0"/>
        <v>11584.761</v>
      </c>
      <c r="J4" s="409">
        <f t="shared" si="0"/>
        <v>12073.348</v>
      </c>
      <c r="K4" s="409">
        <f t="shared" si="0"/>
        <v>13095.220000000001</v>
      </c>
      <c r="L4" s="409">
        <f t="shared" si="0"/>
        <v>20870.367999999999</v>
      </c>
      <c r="M4" s="409">
        <f t="shared" si="0"/>
        <v>16084.653</v>
      </c>
      <c r="N4" s="409">
        <f t="shared" si="0"/>
        <v>21855</v>
      </c>
      <c r="O4" s="409">
        <f t="shared" si="0"/>
        <v>22955</v>
      </c>
      <c r="P4" s="409">
        <f t="shared" si="0"/>
        <v>24055</v>
      </c>
      <c r="Q4" s="409">
        <f t="shared" si="0"/>
        <v>27452</v>
      </c>
      <c r="R4" s="409">
        <f t="shared" si="0"/>
        <v>25345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409">
        <f t="shared" ref="H5:Q5" si="1">SUM(H6:H9)</f>
        <v>572.78200000000004</v>
      </c>
      <c r="I5" s="409">
        <f t="shared" si="1"/>
        <v>513.18799999999999</v>
      </c>
      <c r="J5" s="409">
        <f t="shared" si="1"/>
        <v>1087.575</v>
      </c>
      <c r="K5" s="409">
        <f t="shared" si="1"/>
        <v>1989.0740000000001</v>
      </c>
      <c r="L5" s="409">
        <f t="shared" si="1"/>
        <v>9455.3629999999994</v>
      </c>
      <c r="M5" s="409">
        <f t="shared" si="1"/>
        <v>1219.1309999999999</v>
      </c>
      <c r="N5" s="409">
        <f t="shared" si="1"/>
        <v>950</v>
      </c>
      <c r="O5" s="409">
        <f t="shared" si="1"/>
        <v>950</v>
      </c>
      <c r="P5" s="409">
        <f t="shared" si="1"/>
        <v>950</v>
      </c>
      <c r="Q5" s="409">
        <f t="shared" si="1"/>
        <v>947</v>
      </c>
      <c r="R5" s="409">
        <f>SUM(R6:R9)</f>
        <v>940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410">
        <v>58.613999999999997</v>
      </c>
      <c r="I6" s="410">
        <v>402.851</v>
      </c>
      <c r="J6" s="410">
        <v>649.46199999999999</v>
      </c>
      <c r="K6" s="410">
        <v>1552.807</v>
      </c>
      <c r="L6" s="410">
        <v>9023.2919999999995</v>
      </c>
      <c r="M6" s="410">
        <v>656.08</v>
      </c>
      <c r="N6" s="410">
        <v>500</v>
      </c>
      <c r="O6" s="410">
        <v>500</v>
      </c>
      <c r="P6" s="410">
        <v>500</v>
      </c>
      <c r="Q6" s="410">
        <v>500</v>
      </c>
      <c r="R6" s="410">
        <v>500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410">
        <v>455.94299999999998</v>
      </c>
      <c r="I7" s="410">
        <v>54.85</v>
      </c>
      <c r="J7" s="410">
        <v>378.22</v>
      </c>
      <c r="K7" s="410">
        <v>391.84300000000002</v>
      </c>
      <c r="L7" s="410">
        <v>378.86500000000001</v>
      </c>
      <c r="M7" s="410">
        <v>513.98900000000003</v>
      </c>
      <c r="N7" s="410">
        <v>400</v>
      </c>
      <c r="O7" s="410">
        <v>400</v>
      </c>
      <c r="P7" s="410">
        <v>400</v>
      </c>
      <c r="Q7" s="410">
        <v>400</v>
      </c>
      <c r="R7" s="410">
        <v>400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410">
        <v>0</v>
      </c>
      <c r="I8" s="410">
        <v>0</v>
      </c>
      <c r="J8" s="410">
        <v>0</v>
      </c>
      <c r="K8" s="410">
        <v>0</v>
      </c>
      <c r="L8" s="410">
        <v>0</v>
      </c>
      <c r="M8" s="410">
        <v>0</v>
      </c>
      <c r="N8" s="410">
        <v>0</v>
      </c>
      <c r="O8" s="410">
        <v>0</v>
      </c>
      <c r="P8" s="410">
        <v>0</v>
      </c>
      <c r="Q8" s="410">
        <v>0</v>
      </c>
      <c r="R8" s="410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410">
        <v>58.225000000000001</v>
      </c>
      <c r="I9" s="410">
        <v>55.487000000000002</v>
      </c>
      <c r="J9" s="410">
        <v>59.893000000000001</v>
      </c>
      <c r="K9" s="410">
        <v>44.423999999999999</v>
      </c>
      <c r="L9" s="410">
        <v>53.206000000000003</v>
      </c>
      <c r="M9" s="410">
        <v>49.061999999999998</v>
      </c>
      <c r="N9" s="410">
        <v>50</v>
      </c>
      <c r="O9" s="410">
        <v>50</v>
      </c>
      <c r="P9" s="410">
        <v>50</v>
      </c>
      <c r="Q9" s="410">
        <v>47</v>
      </c>
      <c r="R9" s="410">
        <v>40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409">
        <f>SUM(H11:H16)</f>
        <v>6668.1819999999998</v>
      </c>
      <c r="I10" s="409">
        <f t="shared" ref="I10:R10" si="2">SUM(I11:I16)</f>
        <v>11071.573</v>
      </c>
      <c r="J10" s="409">
        <f t="shared" si="2"/>
        <v>10985.772999999999</v>
      </c>
      <c r="K10" s="409">
        <f t="shared" si="2"/>
        <v>11106.146000000001</v>
      </c>
      <c r="L10" s="409">
        <f t="shared" si="2"/>
        <v>11415.004999999999</v>
      </c>
      <c r="M10" s="409">
        <f t="shared" si="2"/>
        <v>14865.522000000001</v>
      </c>
      <c r="N10" s="409">
        <f t="shared" si="2"/>
        <v>20905</v>
      </c>
      <c r="O10" s="409">
        <f t="shared" si="2"/>
        <v>22005</v>
      </c>
      <c r="P10" s="409">
        <f t="shared" si="2"/>
        <v>23105</v>
      </c>
      <c r="Q10" s="409">
        <f t="shared" si="2"/>
        <v>26505</v>
      </c>
      <c r="R10" s="409">
        <f t="shared" si="2"/>
        <v>24405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410">
        <v>0</v>
      </c>
      <c r="I11" s="410">
        <v>0</v>
      </c>
      <c r="J11" s="410">
        <v>0</v>
      </c>
      <c r="K11" s="410">
        <v>0</v>
      </c>
      <c r="L11" s="410">
        <v>0</v>
      </c>
      <c r="M11" s="410">
        <v>0</v>
      </c>
      <c r="N11" s="410">
        <v>0</v>
      </c>
      <c r="O11" s="410">
        <v>0</v>
      </c>
      <c r="P11" s="410">
        <v>0</v>
      </c>
      <c r="Q11" s="410">
        <v>0</v>
      </c>
      <c r="R11" s="410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410">
        <v>0</v>
      </c>
      <c r="I12" s="410">
        <v>0</v>
      </c>
      <c r="J12" s="410">
        <v>0</v>
      </c>
      <c r="K12" s="410">
        <v>0</v>
      </c>
      <c r="L12" s="410">
        <v>0</v>
      </c>
      <c r="M12" s="410">
        <v>0</v>
      </c>
      <c r="N12" s="410">
        <v>0</v>
      </c>
      <c r="O12" s="410">
        <v>0</v>
      </c>
      <c r="P12" s="410">
        <v>0</v>
      </c>
      <c r="Q12" s="410">
        <v>0</v>
      </c>
      <c r="R12" s="410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410">
        <v>0</v>
      </c>
      <c r="I13" s="410">
        <v>0</v>
      </c>
      <c r="J13" s="410">
        <v>0</v>
      </c>
      <c r="K13" s="410">
        <v>0</v>
      </c>
      <c r="L13" s="410">
        <v>0</v>
      </c>
      <c r="M13" s="410">
        <v>0</v>
      </c>
      <c r="N13" s="410">
        <v>0</v>
      </c>
      <c r="O13" s="410">
        <v>0</v>
      </c>
      <c r="P13" s="410">
        <v>0</v>
      </c>
      <c r="Q13" s="410">
        <v>0</v>
      </c>
      <c r="R13" s="410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410">
        <v>0</v>
      </c>
      <c r="I14" s="410">
        <v>0</v>
      </c>
      <c r="J14" s="410">
        <v>0</v>
      </c>
      <c r="K14" s="410">
        <v>0</v>
      </c>
      <c r="L14" s="410">
        <v>0</v>
      </c>
      <c r="M14" s="410">
        <v>0</v>
      </c>
      <c r="N14" s="410">
        <v>0</v>
      </c>
      <c r="O14" s="410">
        <v>0</v>
      </c>
      <c r="P14" s="410">
        <v>0</v>
      </c>
      <c r="Q14" s="410">
        <v>0</v>
      </c>
      <c r="R14" s="410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410">
        <v>6668.1819999999998</v>
      </c>
      <c r="I15" s="410">
        <v>11071.573</v>
      </c>
      <c r="J15" s="410">
        <v>10985.772999999999</v>
      </c>
      <c r="K15" s="410">
        <v>11106.146000000001</v>
      </c>
      <c r="L15" s="410">
        <v>11415.004999999999</v>
      </c>
      <c r="M15" s="410">
        <v>14865.522000000001</v>
      </c>
      <c r="N15" s="410">
        <v>20905</v>
      </c>
      <c r="O15" s="410">
        <f>N15-O58+O45</f>
        <v>22005</v>
      </c>
      <c r="P15" s="410">
        <f>O15-P58+P45</f>
        <v>23105</v>
      </c>
      <c r="Q15" s="410">
        <f>P15-Q58+Q45</f>
        <v>26505</v>
      </c>
      <c r="R15" s="410">
        <f>Q15-R58+R45</f>
        <v>24405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410">
        <v>0</v>
      </c>
      <c r="I16" s="410">
        <v>0</v>
      </c>
      <c r="J16" s="410">
        <v>0</v>
      </c>
      <c r="K16" s="410">
        <v>0</v>
      </c>
      <c r="L16" s="410">
        <v>0</v>
      </c>
      <c r="M16" s="410">
        <v>0</v>
      </c>
      <c r="N16" s="410">
        <v>0</v>
      </c>
      <c r="O16" s="410">
        <v>0</v>
      </c>
      <c r="P16" s="410">
        <v>0</v>
      </c>
      <c r="Q16" s="410">
        <v>0</v>
      </c>
      <c r="R16" s="410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411">
        <v>0</v>
      </c>
      <c r="I17" s="411">
        <v>0</v>
      </c>
      <c r="J17" s="411">
        <v>0</v>
      </c>
      <c r="K17" s="411">
        <v>0</v>
      </c>
      <c r="L17" s="411">
        <v>0</v>
      </c>
      <c r="M17" s="411">
        <v>0</v>
      </c>
      <c r="N17" s="411">
        <v>0</v>
      </c>
      <c r="O17" s="411">
        <v>0</v>
      </c>
      <c r="P17" s="411">
        <v>0</v>
      </c>
      <c r="Q17" s="411">
        <v>0</v>
      </c>
      <c r="R17" s="411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409">
        <f>H19+H27</f>
        <v>7240.9639999999999</v>
      </c>
      <c r="I18" s="409">
        <f t="shared" ref="I18:R18" si="3">I19+I27</f>
        <v>11584.761</v>
      </c>
      <c r="J18" s="409">
        <f t="shared" si="3"/>
        <v>12073.346999999998</v>
      </c>
      <c r="K18" s="409">
        <f t="shared" si="3"/>
        <v>13095.22</v>
      </c>
      <c r="L18" s="409">
        <f t="shared" si="3"/>
        <v>20870.367999999999</v>
      </c>
      <c r="M18" s="409">
        <f t="shared" si="3"/>
        <v>16084.626999999999</v>
      </c>
      <c r="N18" s="409">
        <f t="shared" si="3"/>
        <v>21855.364000000001</v>
      </c>
      <c r="O18" s="409">
        <f t="shared" si="3"/>
        <v>22955.364000000001</v>
      </c>
      <c r="P18" s="409">
        <f t="shared" si="3"/>
        <v>24054.954000000002</v>
      </c>
      <c r="Q18" s="409">
        <f t="shared" si="3"/>
        <v>27452.203350000003</v>
      </c>
      <c r="R18" s="409">
        <f t="shared" si="3"/>
        <v>25344.696459250004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409">
        <f>SUM(H21:H26)</f>
        <v>1449.123</v>
      </c>
      <c r="I19" s="409">
        <f t="shared" ref="I19:R19" si="4">SUM(I21:I26)</f>
        <v>627.18600000000004</v>
      </c>
      <c r="J19" s="409">
        <f t="shared" si="4"/>
        <v>1474.5060000000001</v>
      </c>
      <c r="K19" s="409">
        <f t="shared" si="4"/>
        <v>2640.43</v>
      </c>
      <c r="L19" s="409">
        <f t="shared" si="4"/>
        <v>10099.922999999999</v>
      </c>
      <c r="M19" s="409">
        <f t="shared" si="4"/>
        <v>1914.6509999999998</v>
      </c>
      <c r="N19" s="409">
        <f t="shared" si="4"/>
        <v>1800</v>
      </c>
      <c r="O19" s="409">
        <f t="shared" si="4"/>
        <v>1800</v>
      </c>
      <c r="P19" s="409">
        <f t="shared" si="4"/>
        <v>1799</v>
      </c>
      <c r="Q19" s="409">
        <f t="shared" si="4"/>
        <v>1780</v>
      </c>
      <c r="R19" s="409">
        <f t="shared" si="4"/>
        <v>1741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412">
        <v>1366.7560000000001</v>
      </c>
      <c r="I20" s="412">
        <v>592.01199999999994</v>
      </c>
      <c r="J20" s="412">
        <v>1474.5060000000001</v>
      </c>
      <c r="K20" s="412">
        <v>2640.4290000000001</v>
      </c>
      <c r="L20" s="412">
        <v>10099.923000000001</v>
      </c>
      <c r="M20" s="412">
        <v>1914.6510000000001</v>
      </c>
      <c r="N20" s="412">
        <f>N21</f>
        <v>1800</v>
      </c>
      <c r="O20" s="412">
        <f>O21</f>
        <v>1800</v>
      </c>
      <c r="P20" s="412">
        <f>P21</f>
        <v>1799</v>
      </c>
      <c r="Q20" s="412">
        <f>Q21</f>
        <v>1780</v>
      </c>
      <c r="R20" s="412">
        <f>R21</f>
        <v>1741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410">
        <f>154.792+561.802+544.194</f>
        <v>1260.788</v>
      </c>
      <c r="I21" s="410">
        <f>8.591+212.009+324.22</f>
        <v>544.82000000000005</v>
      </c>
      <c r="J21" s="410">
        <f>173.294+637.68+628.359</f>
        <v>1439.3330000000001</v>
      </c>
      <c r="K21" s="410">
        <f>164.689+679.766+1795.975</f>
        <v>2640.43</v>
      </c>
      <c r="L21" s="410">
        <f>148.328+750.518+9201.077</f>
        <v>10099.922999999999</v>
      </c>
      <c r="M21" s="410">
        <f>219.889+777.117+917.645</f>
        <v>1914.6509999999998</v>
      </c>
      <c r="N21" s="410">
        <v>1800</v>
      </c>
      <c r="O21" s="410">
        <v>1800</v>
      </c>
      <c r="P21" s="410">
        <v>1799</v>
      </c>
      <c r="Q21" s="410">
        <v>1780</v>
      </c>
      <c r="R21" s="410">
        <v>1741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410">
        <v>0</v>
      </c>
      <c r="I22" s="410">
        <v>0</v>
      </c>
      <c r="J22" s="410">
        <v>0</v>
      </c>
      <c r="K22" s="410">
        <v>0</v>
      </c>
      <c r="L22" s="410">
        <v>0</v>
      </c>
      <c r="M22" s="410">
        <v>0</v>
      </c>
      <c r="N22" s="410">
        <v>0</v>
      </c>
      <c r="O22" s="410">
        <v>0</v>
      </c>
      <c r="P22" s="410">
        <v>0</v>
      </c>
      <c r="Q22" s="410">
        <v>0</v>
      </c>
      <c r="R22" s="410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410">
        <v>0</v>
      </c>
      <c r="I23" s="410">
        <v>0</v>
      </c>
      <c r="J23" s="410">
        <v>0</v>
      </c>
      <c r="K23" s="410">
        <v>0</v>
      </c>
      <c r="L23" s="410">
        <v>0</v>
      </c>
      <c r="M23" s="410">
        <v>0</v>
      </c>
      <c r="N23" s="410">
        <v>0</v>
      </c>
      <c r="O23" s="410">
        <v>0</v>
      </c>
      <c r="P23" s="410">
        <v>0</v>
      </c>
      <c r="Q23" s="410">
        <v>0</v>
      </c>
      <c r="R23" s="410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410">
        <f>105.968+82.367</f>
        <v>188.33500000000001</v>
      </c>
      <c r="I24" s="410">
        <f>47.193+35.173</f>
        <v>82.366</v>
      </c>
      <c r="J24" s="410">
        <f>35.173</f>
        <v>35.173000000000002</v>
      </c>
      <c r="K24" s="410">
        <v>0</v>
      </c>
      <c r="L24" s="410">
        <v>0</v>
      </c>
      <c r="M24" s="410">
        <v>0</v>
      </c>
      <c r="N24" s="410">
        <v>0</v>
      </c>
      <c r="O24" s="410">
        <v>0</v>
      </c>
      <c r="P24" s="410">
        <v>0</v>
      </c>
      <c r="Q24" s="410">
        <v>0</v>
      </c>
      <c r="R24" s="410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410">
        <v>0</v>
      </c>
      <c r="I25" s="410">
        <v>0</v>
      </c>
      <c r="J25" s="410">
        <v>0</v>
      </c>
      <c r="K25" s="410">
        <v>0</v>
      </c>
      <c r="L25" s="410">
        <v>0</v>
      </c>
      <c r="M25" s="410">
        <v>0</v>
      </c>
      <c r="N25" s="410">
        <v>0</v>
      </c>
      <c r="O25" s="410">
        <v>0</v>
      </c>
      <c r="P25" s="410">
        <v>0</v>
      </c>
      <c r="Q25" s="410">
        <v>0</v>
      </c>
      <c r="R25" s="410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410">
        <v>0</v>
      </c>
      <c r="I26" s="410">
        <v>0</v>
      </c>
      <c r="J26" s="410">
        <v>0</v>
      </c>
      <c r="K26" s="410">
        <v>0</v>
      </c>
      <c r="L26" s="410">
        <v>0</v>
      </c>
      <c r="M26" s="410">
        <v>0</v>
      </c>
      <c r="N26" s="410">
        <v>0</v>
      </c>
      <c r="O26" s="410">
        <v>0</v>
      </c>
      <c r="P26" s="410">
        <v>0</v>
      </c>
      <c r="Q26" s="410">
        <v>0</v>
      </c>
      <c r="R26" s="410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409">
        <f>SUM(H28:H30)</f>
        <v>5791.8409999999994</v>
      </c>
      <c r="I27" s="409">
        <f t="shared" ref="I27:R27" si="5">SUM(I28:I30)</f>
        <v>10957.575000000001</v>
      </c>
      <c r="J27" s="409">
        <f t="shared" si="5"/>
        <v>10598.840999999999</v>
      </c>
      <c r="K27" s="409">
        <f t="shared" si="5"/>
        <v>10454.789999999999</v>
      </c>
      <c r="L27" s="409">
        <f t="shared" si="5"/>
        <v>10770.445</v>
      </c>
      <c r="M27" s="409">
        <f t="shared" si="5"/>
        <v>14169.975999999999</v>
      </c>
      <c r="N27" s="409">
        <f t="shared" si="5"/>
        <v>20055.364000000001</v>
      </c>
      <c r="O27" s="409">
        <f t="shared" si="5"/>
        <v>21155.364000000001</v>
      </c>
      <c r="P27" s="409">
        <f t="shared" si="5"/>
        <v>22255.954000000002</v>
      </c>
      <c r="Q27" s="409">
        <f t="shared" si="5"/>
        <v>25672.203350000003</v>
      </c>
      <c r="R27" s="409">
        <f t="shared" si="5"/>
        <v>23603.696459250004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410">
        <v>9814.9159999999993</v>
      </c>
      <c r="I28" s="410">
        <v>0</v>
      </c>
      <c r="J28" s="410">
        <v>0</v>
      </c>
      <c r="K28" s="410">
        <v>0</v>
      </c>
      <c r="L28" s="410">
        <v>0</v>
      </c>
      <c r="M28" s="410">
        <v>0</v>
      </c>
      <c r="N28" s="410">
        <v>0</v>
      </c>
      <c r="O28" s="410">
        <v>0</v>
      </c>
      <c r="P28" s="410">
        <v>0</v>
      </c>
      <c r="Q28" s="410">
        <v>0</v>
      </c>
      <c r="R28" s="410">
        <v>0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410">
        <v>0</v>
      </c>
      <c r="I29" s="410">
        <v>10989.206</v>
      </c>
      <c r="J29" s="410">
        <v>10957.575999999999</v>
      </c>
      <c r="K29" s="410">
        <f>J29+J30</f>
        <v>10598.840999999999</v>
      </c>
      <c r="L29" s="410">
        <f>K29+K30</f>
        <v>10454.789999999999</v>
      </c>
      <c r="M29" s="410">
        <v>10770.445</v>
      </c>
      <c r="N29" s="410">
        <v>14170</v>
      </c>
      <c r="O29" s="410">
        <f>N29+N30</f>
        <v>20055.364000000001</v>
      </c>
      <c r="P29" s="410">
        <f>O29+O30</f>
        <v>21155.364000000001</v>
      </c>
      <c r="Q29" s="410">
        <f>P29+P30</f>
        <v>22255.954000000002</v>
      </c>
      <c r="R29" s="410">
        <f>Q29+Q30</f>
        <v>25672.203350000003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410">
        <v>-4023.0749999999998</v>
      </c>
      <c r="I30" s="410">
        <v>-31.631</v>
      </c>
      <c r="J30" s="410">
        <v>-358.73500000000001</v>
      </c>
      <c r="K30" s="410">
        <v>-144.05099999999999</v>
      </c>
      <c r="L30" s="410">
        <v>315.65499999999997</v>
      </c>
      <c r="M30" s="410">
        <v>3399.5309999999999</v>
      </c>
      <c r="N30" s="410">
        <f>N48</f>
        <v>5885.3640000000014</v>
      </c>
      <c r="O30" s="410">
        <f>O48</f>
        <v>1100</v>
      </c>
      <c r="P30" s="410">
        <f>P48</f>
        <v>1100.5900000000001</v>
      </c>
      <c r="Q30" s="410">
        <f>Q48</f>
        <v>3416.24935</v>
      </c>
      <c r="R30" s="410">
        <f>R48</f>
        <v>-2068.506890749999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413">
        <f t="shared" ref="H31:R31" si="6">H4-H18</f>
        <v>0</v>
      </c>
      <c r="I31" s="413">
        <f t="shared" si="6"/>
        <v>0</v>
      </c>
      <c r="J31" s="413">
        <f t="shared" si="6"/>
        <v>1.0000000020227162E-3</v>
      </c>
      <c r="K31" s="413">
        <f t="shared" si="6"/>
        <v>0</v>
      </c>
      <c r="L31" s="413">
        <f t="shared" si="6"/>
        <v>0</v>
      </c>
      <c r="M31" s="413">
        <f t="shared" si="6"/>
        <v>2.6000000001658918E-2</v>
      </c>
      <c r="N31" s="413">
        <f t="shared" si="6"/>
        <v>-0.36400000000139698</v>
      </c>
      <c r="O31" s="413">
        <f t="shared" si="6"/>
        <v>-0.36400000000139698</v>
      </c>
      <c r="P31" s="413">
        <f t="shared" si="6"/>
        <v>4.5999999998457497E-2</v>
      </c>
      <c r="Q31" s="413">
        <f t="shared" si="6"/>
        <v>-0.20335000000341097</v>
      </c>
      <c r="R31" s="413">
        <f t="shared" si="6"/>
        <v>0.30354074999559089</v>
      </c>
      <c r="S31" s="4"/>
    </row>
    <row r="32" spans="1:19" x14ac:dyDescent="0.2">
      <c r="G32" s="406" t="s">
        <v>78</v>
      </c>
      <c r="H32" s="414">
        <v>2011</v>
      </c>
      <c r="I32" s="414">
        <f t="shared" ref="I32:R32" si="7">H32+1</f>
        <v>2012</v>
      </c>
      <c r="J32" s="414">
        <f t="shared" si="7"/>
        <v>2013</v>
      </c>
      <c r="K32" s="414">
        <f t="shared" si="7"/>
        <v>2014</v>
      </c>
      <c r="L32" s="414">
        <f t="shared" si="7"/>
        <v>2015</v>
      </c>
      <c r="M32" s="414">
        <f t="shared" si="7"/>
        <v>2016</v>
      </c>
      <c r="N32" s="414">
        <f t="shared" si="7"/>
        <v>2017</v>
      </c>
      <c r="O32" s="414">
        <f t="shared" si="7"/>
        <v>2018</v>
      </c>
      <c r="P32" s="414">
        <f t="shared" si="7"/>
        <v>2019</v>
      </c>
      <c r="Q32" s="414">
        <f t="shared" si="7"/>
        <v>2020</v>
      </c>
      <c r="R32" s="414">
        <f t="shared" si="7"/>
        <v>2021</v>
      </c>
    </row>
    <row r="33" spans="1:19" x14ac:dyDescent="0.2">
      <c r="B33" s="2" t="s">
        <v>79</v>
      </c>
      <c r="C33" s="19">
        <v>3</v>
      </c>
      <c r="G33" s="408" t="s">
        <v>80</v>
      </c>
      <c r="H33" s="409">
        <f>SUM(H34:H37)</f>
        <v>2576.7800000000002</v>
      </c>
      <c r="I33" s="409">
        <f t="shared" ref="I33:R33" si="8">SUM(I34:I37)</f>
        <v>7971.1429999999991</v>
      </c>
      <c r="J33" s="409">
        <f t="shared" si="8"/>
        <v>7834.697000000001</v>
      </c>
      <c r="K33" s="409">
        <f t="shared" si="8"/>
        <v>8245.1549999999988</v>
      </c>
      <c r="L33" s="409">
        <f t="shared" si="8"/>
        <v>9044.93</v>
      </c>
      <c r="M33" s="409">
        <f t="shared" si="8"/>
        <v>13108.067000000001</v>
      </c>
      <c r="N33" s="409">
        <f t="shared" si="8"/>
        <v>16762.61</v>
      </c>
      <c r="O33" s="409">
        <f t="shared" si="8"/>
        <v>12556</v>
      </c>
      <c r="P33" s="409">
        <f t="shared" si="8"/>
        <v>13616.14</v>
      </c>
      <c r="Q33" s="409">
        <f t="shared" si="8"/>
        <v>17310.8586</v>
      </c>
      <c r="R33" s="409">
        <f t="shared" si="8"/>
        <v>13657.903807999999</v>
      </c>
    </row>
    <row r="34" spans="1:19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410">
        <v>0</v>
      </c>
      <c r="I34" s="410">
        <v>0</v>
      </c>
      <c r="J34" s="410">
        <v>0</v>
      </c>
      <c r="K34" s="410">
        <v>0</v>
      </c>
      <c r="L34" s="410">
        <v>0</v>
      </c>
      <c r="M34" s="410">
        <v>0</v>
      </c>
      <c r="N34" s="410">
        <v>0</v>
      </c>
      <c r="O34" s="410">
        <v>0</v>
      </c>
      <c r="P34" s="410">
        <v>0</v>
      </c>
      <c r="Q34" s="410">
        <v>0</v>
      </c>
      <c r="R34" s="410">
        <v>0</v>
      </c>
    </row>
    <row r="35" spans="1:19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410">
        <v>2244.5990000000002</v>
      </c>
      <c r="I35" s="410">
        <v>2395.5749999999998</v>
      </c>
      <c r="J35" s="410">
        <v>2257.4810000000002</v>
      </c>
      <c r="K35" s="410">
        <v>2391.098</v>
      </c>
      <c r="L35" s="410">
        <v>2426.66</v>
      </c>
      <c r="M35" s="410">
        <v>2764.2779999999998</v>
      </c>
      <c r="N35" s="410">
        <v>2568.61</v>
      </c>
      <c r="O35" s="410">
        <f>2650+54</f>
        <v>2704</v>
      </c>
      <c r="P35" s="410">
        <f>+O35*1.03</f>
        <v>2785.12</v>
      </c>
      <c r="Q35" s="410">
        <f>+P35*1.03</f>
        <v>2868.6736000000001</v>
      </c>
      <c r="R35" s="410">
        <f>+Q35*1.03</f>
        <v>2954.733808</v>
      </c>
      <c r="S35" s="415"/>
    </row>
    <row r="36" spans="1:19" ht="12" x14ac:dyDescent="0.2">
      <c r="A36" s="416"/>
      <c r="B36" s="77" t="s">
        <v>85</v>
      </c>
      <c r="C36" s="417">
        <v>35</v>
      </c>
      <c r="D36" s="417"/>
      <c r="E36" s="418" t="s">
        <v>14</v>
      </c>
      <c r="F36" s="416"/>
      <c r="G36" s="419" t="s">
        <v>86</v>
      </c>
      <c r="H36" s="420">
        <v>332.18099999999998</v>
      </c>
      <c r="I36" s="420">
        <f>5387.355+188.213</f>
        <v>5575.5679999999993</v>
      </c>
      <c r="J36" s="420">
        <v>5577.3890000000001</v>
      </c>
      <c r="K36" s="420">
        <v>5854.0569999999998</v>
      </c>
      <c r="L36" s="420">
        <v>6617.0280000000002</v>
      </c>
      <c r="M36" s="420">
        <v>10343.49</v>
      </c>
      <c r="N36" s="420">
        <f>6038+14+55+20+2000+5975+92</f>
        <v>14194</v>
      </c>
      <c r="O36" s="420">
        <f>7252+2500+100</f>
        <v>9852</v>
      </c>
      <c r="P36" s="420">
        <f>(7252*1.135)+2500+100</f>
        <v>10831.02</v>
      </c>
      <c r="Q36" s="420">
        <f>(8231*1.135)+5000+100</f>
        <v>14442.184999999999</v>
      </c>
      <c r="R36" s="420">
        <f>(9342*1.135)+100</f>
        <v>10703.17</v>
      </c>
      <c r="S36" s="415"/>
    </row>
    <row r="37" spans="1:19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410">
        <v>0</v>
      </c>
      <c r="I37" s="410">
        <v>0</v>
      </c>
      <c r="J37" s="410">
        <v>-0.17299999999999999</v>
      </c>
      <c r="K37" s="410">
        <v>0</v>
      </c>
      <c r="L37" s="410">
        <v>1.242</v>
      </c>
      <c r="M37" s="410">
        <v>0.29899999999999999</v>
      </c>
      <c r="N37" s="410">
        <v>0</v>
      </c>
      <c r="O37" s="410">
        <v>0</v>
      </c>
      <c r="P37" s="410">
        <v>0</v>
      </c>
      <c r="Q37" s="410">
        <v>0</v>
      </c>
      <c r="R37" s="410">
        <v>0</v>
      </c>
    </row>
    <row r="38" spans="1:19" x14ac:dyDescent="0.2">
      <c r="B38" s="2" t="s">
        <v>89</v>
      </c>
      <c r="C38" s="19">
        <v>4</v>
      </c>
      <c r="E38" s="42"/>
      <c r="G38" s="18" t="s">
        <v>90</v>
      </c>
      <c r="H38" s="409">
        <f>H39+H40</f>
        <v>0</v>
      </c>
      <c r="I38" s="409">
        <f t="shared" ref="I38:R38" si="9">I39+I40</f>
        <v>-477.77199999999999</v>
      </c>
      <c r="J38" s="409">
        <f t="shared" si="9"/>
        <v>-135.19900000000001</v>
      </c>
      <c r="K38" s="409">
        <f t="shared" si="9"/>
        <v>0</v>
      </c>
      <c r="L38" s="409">
        <f t="shared" si="9"/>
        <v>0</v>
      </c>
      <c r="M38" s="409">
        <f t="shared" si="9"/>
        <v>0</v>
      </c>
      <c r="N38" s="409">
        <f t="shared" si="9"/>
        <v>0</v>
      </c>
      <c r="O38" s="409">
        <f t="shared" si="9"/>
        <v>0</v>
      </c>
      <c r="P38" s="409">
        <f t="shared" si="9"/>
        <v>0</v>
      </c>
      <c r="Q38" s="409">
        <f t="shared" si="9"/>
        <v>0</v>
      </c>
      <c r="R38" s="409">
        <f t="shared" si="9"/>
        <v>0</v>
      </c>
    </row>
    <row r="39" spans="1:19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410">
        <v>0</v>
      </c>
      <c r="I39" s="410">
        <v>0</v>
      </c>
      <c r="J39" s="410">
        <v>0</v>
      </c>
      <c r="K39" s="410">
        <v>0</v>
      </c>
      <c r="L39" s="410">
        <v>0</v>
      </c>
      <c r="M39" s="410">
        <v>0</v>
      </c>
      <c r="N39" s="410">
        <v>0</v>
      </c>
      <c r="O39" s="410">
        <v>0</v>
      </c>
      <c r="P39" s="410">
        <v>0</v>
      </c>
      <c r="Q39" s="410">
        <v>0</v>
      </c>
      <c r="R39" s="410">
        <v>0</v>
      </c>
    </row>
    <row r="40" spans="1:19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410">
        <v>0</v>
      </c>
      <c r="I40" s="421">
        <f>-188.213-209.835-79.724</f>
        <v>-477.77199999999999</v>
      </c>
      <c r="J40" s="410">
        <v>-135.19900000000001</v>
      </c>
      <c r="K40" s="410">
        <v>0</v>
      </c>
      <c r="L40" s="410">
        <v>0</v>
      </c>
      <c r="M40" s="410">
        <v>0</v>
      </c>
      <c r="N40" s="410">
        <v>0</v>
      </c>
      <c r="O40" s="410">
        <v>0</v>
      </c>
      <c r="P40" s="410">
        <v>0</v>
      </c>
      <c r="Q40" s="410">
        <v>0</v>
      </c>
      <c r="R40" s="410">
        <v>0</v>
      </c>
    </row>
    <row r="41" spans="1:19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409">
        <f>SUM(H42:H45)</f>
        <v>-6591.6319999999996</v>
      </c>
      <c r="I41" s="409">
        <f t="shared" ref="I41:R41" si="10">SUM(I42:I45)</f>
        <v>-7519.8060000000005</v>
      </c>
      <c r="J41" s="409">
        <f t="shared" si="10"/>
        <v>-8056.2979999999998</v>
      </c>
      <c r="K41" s="409">
        <f t="shared" si="10"/>
        <v>-8388.8240000000005</v>
      </c>
      <c r="L41" s="409">
        <f t="shared" si="10"/>
        <v>-8744.8860000000004</v>
      </c>
      <c r="M41" s="409">
        <f t="shared" si="10"/>
        <v>-9723.1359999999986</v>
      </c>
      <c r="N41" s="409">
        <f t="shared" si="10"/>
        <v>-10887.245999999999</v>
      </c>
      <c r="O41" s="409">
        <f t="shared" si="10"/>
        <v>-11456</v>
      </c>
      <c r="P41" s="409">
        <f t="shared" si="10"/>
        <v>-12515.55</v>
      </c>
      <c r="Q41" s="409">
        <f t="shared" si="10"/>
        <v>-13894.60925</v>
      </c>
      <c r="R41" s="409">
        <f t="shared" si="10"/>
        <v>-15726.410698749998</v>
      </c>
    </row>
    <row r="42" spans="1:19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410">
        <v>-3949.116</v>
      </c>
      <c r="I42" s="410">
        <f>-3997.987-2.554</f>
        <v>-4000.5410000000002</v>
      </c>
      <c r="J42" s="410">
        <v>-4652.4840000000004</v>
      </c>
      <c r="K42" s="410">
        <v>-4927.41</v>
      </c>
      <c r="L42" s="410">
        <v>-5395.5330000000004</v>
      </c>
      <c r="M42" s="410">
        <v>-5751.02</v>
      </c>
      <c r="N42" s="410">
        <v>-5885.2460000000001</v>
      </c>
      <c r="O42" s="410">
        <v>-7330</v>
      </c>
      <c r="P42" s="410">
        <f>O42*1.135</f>
        <v>-8319.5499999999993</v>
      </c>
      <c r="Q42" s="410">
        <f>P42*1.135</f>
        <v>-9442.6892499999994</v>
      </c>
      <c r="R42" s="410">
        <f>Q42*1.135</f>
        <v>-10717.452298749999</v>
      </c>
      <c r="S42" s="415"/>
    </row>
    <row r="43" spans="1:19" ht="12" x14ac:dyDescent="0.2">
      <c r="A43" s="422"/>
      <c r="B43" s="77" t="s">
        <v>101</v>
      </c>
      <c r="C43" s="417">
        <v>55</v>
      </c>
      <c r="D43" s="417"/>
      <c r="E43" s="418" t="s">
        <v>448</v>
      </c>
      <c r="F43" s="422"/>
      <c r="G43" s="419" t="s">
        <v>102</v>
      </c>
      <c r="H43" s="420">
        <v>-2377.6860000000001</v>
      </c>
      <c r="I43" s="420">
        <f>-2619.597-7.455</f>
        <v>-2627.0520000000001</v>
      </c>
      <c r="J43" s="420">
        <v>-2885.6219999999998</v>
      </c>
      <c r="K43" s="420">
        <v>-2935.348</v>
      </c>
      <c r="L43" s="420">
        <v>-2813.0450000000001</v>
      </c>
      <c r="M43" s="420">
        <v>-3241.2220000000002</v>
      </c>
      <c r="N43" s="420">
        <v>-4177</v>
      </c>
      <c r="O43" s="420">
        <f>-2726</f>
        <v>-2726</v>
      </c>
      <c r="P43" s="420">
        <f>-2796</f>
        <v>-2796</v>
      </c>
      <c r="Q43" s="420">
        <f>P43*1.02</f>
        <v>-2851.92</v>
      </c>
      <c r="R43" s="420">
        <f>+Q43*1.02</f>
        <v>-2908.9584</v>
      </c>
      <c r="S43" s="415"/>
    </row>
    <row r="44" spans="1:19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410">
        <v>-51.996000000000002</v>
      </c>
      <c r="I44" s="410">
        <v>-617.75800000000004</v>
      </c>
      <c r="J44" s="410">
        <v>-1.036</v>
      </c>
      <c r="K44" s="410">
        <v>-1.1739999999999999</v>
      </c>
      <c r="L44" s="410">
        <v>-2.0590000000000002</v>
      </c>
      <c r="M44" s="410">
        <v>-3.1840000000000002</v>
      </c>
      <c r="N44" s="410">
        <v>0</v>
      </c>
      <c r="O44" s="410">
        <v>0</v>
      </c>
      <c r="P44" s="410">
        <v>0</v>
      </c>
      <c r="Q44" s="410">
        <v>0</v>
      </c>
      <c r="R44" s="410">
        <v>0</v>
      </c>
    </row>
    <row r="45" spans="1:19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410">
        <v>-212.834</v>
      </c>
      <c r="I45" s="410">
        <v>-274.45499999999998</v>
      </c>
      <c r="J45" s="410">
        <v>-517.15599999999995</v>
      </c>
      <c r="K45" s="410">
        <v>-524.89200000000005</v>
      </c>
      <c r="L45" s="410">
        <v>-534.24900000000002</v>
      </c>
      <c r="M45" s="410">
        <v>-727.71</v>
      </c>
      <c r="N45" s="410">
        <v>-825</v>
      </c>
      <c r="O45" s="410">
        <v>-1400</v>
      </c>
      <c r="P45" s="410">
        <v>-1400</v>
      </c>
      <c r="Q45" s="410">
        <v>-1600</v>
      </c>
      <c r="R45" s="410">
        <f>-1600-500</f>
        <v>-2100</v>
      </c>
    </row>
    <row r="46" spans="1:19" x14ac:dyDescent="0.2">
      <c r="B46" s="2" t="s">
        <v>107</v>
      </c>
      <c r="G46" s="18" t="s">
        <v>108</v>
      </c>
      <c r="H46" s="409">
        <f>H33+H38+H41</f>
        <v>-4014.8519999999994</v>
      </c>
      <c r="I46" s="409">
        <f t="shared" ref="I46:R46" si="11">I33+I38+I41</f>
        <v>-26.43500000000131</v>
      </c>
      <c r="J46" s="409">
        <f t="shared" si="11"/>
        <v>-356.79999999999836</v>
      </c>
      <c r="K46" s="409">
        <f t="shared" si="11"/>
        <v>-143.66900000000169</v>
      </c>
      <c r="L46" s="409">
        <f t="shared" si="11"/>
        <v>300.04399999999987</v>
      </c>
      <c r="M46" s="409">
        <f t="shared" si="11"/>
        <v>3384.9310000000023</v>
      </c>
      <c r="N46" s="409">
        <f t="shared" si="11"/>
        <v>5875.3640000000014</v>
      </c>
      <c r="O46" s="409">
        <f t="shared" si="11"/>
        <v>1100</v>
      </c>
      <c r="P46" s="409">
        <f t="shared" si="11"/>
        <v>1100.5900000000001</v>
      </c>
      <c r="Q46" s="409">
        <f t="shared" si="11"/>
        <v>3416.24935</v>
      </c>
      <c r="R46" s="409">
        <f t="shared" si="11"/>
        <v>-2068.506890749999</v>
      </c>
    </row>
    <row r="47" spans="1:19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410">
        <v>-8.2230000000000008</v>
      </c>
      <c r="I47" s="410">
        <v>-5.1959999999999997</v>
      </c>
      <c r="J47" s="410">
        <v>-2.1080000000000001</v>
      </c>
      <c r="K47" s="410">
        <v>-0.42899999999999999</v>
      </c>
      <c r="L47" s="410">
        <v>15.611000000000001</v>
      </c>
      <c r="M47" s="410">
        <v>14.598000000000001</v>
      </c>
      <c r="N47" s="410">
        <v>10</v>
      </c>
      <c r="O47" s="410">
        <v>0</v>
      </c>
      <c r="P47" s="410">
        <v>0</v>
      </c>
      <c r="Q47" s="410">
        <v>0</v>
      </c>
      <c r="R47" s="410">
        <v>0</v>
      </c>
    </row>
    <row r="48" spans="1:19" x14ac:dyDescent="0.2">
      <c r="B48" s="2" t="s">
        <v>111</v>
      </c>
      <c r="G48" s="18" t="s">
        <v>112</v>
      </c>
      <c r="H48" s="409">
        <f>H46+H47</f>
        <v>-4023.0749999999994</v>
      </c>
      <c r="I48" s="409">
        <f t="shared" ref="I48:R48" si="12">I46+I47</f>
        <v>-31.631000000001308</v>
      </c>
      <c r="J48" s="409">
        <f t="shared" si="12"/>
        <v>-358.90799999999837</v>
      </c>
      <c r="K48" s="409">
        <f t="shared" si="12"/>
        <v>-144.09800000000169</v>
      </c>
      <c r="L48" s="409">
        <f t="shared" si="12"/>
        <v>315.65499999999986</v>
      </c>
      <c r="M48" s="409">
        <f t="shared" si="12"/>
        <v>3399.5290000000023</v>
      </c>
      <c r="N48" s="409">
        <f t="shared" si="12"/>
        <v>5885.3640000000014</v>
      </c>
      <c r="O48" s="409">
        <f t="shared" si="12"/>
        <v>1100</v>
      </c>
      <c r="P48" s="409">
        <f t="shared" si="12"/>
        <v>1100.5900000000001</v>
      </c>
      <c r="Q48" s="409">
        <f t="shared" si="12"/>
        <v>3416.24935</v>
      </c>
      <c r="R48" s="409">
        <f t="shared" si="12"/>
        <v>-2068.506890749999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410">
        <v>0</v>
      </c>
      <c r="I49" s="410">
        <v>0</v>
      </c>
      <c r="J49" s="410">
        <v>0</v>
      </c>
      <c r="K49" s="410">
        <v>0</v>
      </c>
      <c r="L49" s="410">
        <v>0</v>
      </c>
      <c r="M49" s="410">
        <v>0</v>
      </c>
      <c r="N49" s="410">
        <v>0</v>
      </c>
      <c r="O49" s="410">
        <v>0</v>
      </c>
      <c r="P49" s="410">
        <v>0</v>
      </c>
      <c r="Q49" s="410">
        <v>0</v>
      </c>
      <c r="R49" s="410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410">
        <v>0</v>
      </c>
      <c r="I50" s="410">
        <v>0</v>
      </c>
      <c r="J50" s="410">
        <v>0</v>
      </c>
      <c r="K50" s="410">
        <v>0</v>
      </c>
      <c r="L50" s="410">
        <v>0</v>
      </c>
      <c r="M50" s="410">
        <v>0</v>
      </c>
      <c r="N50" s="410">
        <v>0</v>
      </c>
      <c r="O50" s="410">
        <v>0</v>
      </c>
      <c r="P50" s="410">
        <v>0</v>
      </c>
      <c r="Q50" s="410">
        <v>0</v>
      </c>
      <c r="R50" s="410">
        <v>0</v>
      </c>
    </row>
    <row r="51" spans="1:18" x14ac:dyDescent="0.2">
      <c r="B51" s="2" t="s">
        <v>117</v>
      </c>
      <c r="G51" s="18" t="s">
        <v>118</v>
      </c>
      <c r="H51" s="409">
        <f>H48+H49+H50</f>
        <v>-4023.0749999999994</v>
      </c>
      <c r="I51" s="409">
        <f t="shared" ref="I51:R51" si="13">I48+I49+I50</f>
        <v>-31.631000000001308</v>
      </c>
      <c r="J51" s="409">
        <f t="shared" si="13"/>
        <v>-358.90799999999837</v>
      </c>
      <c r="K51" s="409">
        <f t="shared" si="13"/>
        <v>-144.09800000000169</v>
      </c>
      <c r="L51" s="409">
        <f t="shared" si="13"/>
        <v>315.65499999999986</v>
      </c>
      <c r="M51" s="409">
        <f t="shared" si="13"/>
        <v>3399.5290000000023</v>
      </c>
      <c r="N51" s="409">
        <f t="shared" si="13"/>
        <v>5885.3640000000014</v>
      </c>
      <c r="O51" s="409">
        <f t="shared" si="13"/>
        <v>1100</v>
      </c>
      <c r="P51" s="409">
        <f t="shared" si="13"/>
        <v>1100.5900000000001</v>
      </c>
      <c r="Q51" s="409">
        <f t="shared" si="13"/>
        <v>3416.24935</v>
      </c>
      <c r="R51" s="409">
        <f t="shared" si="13"/>
        <v>-2068.506890749999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413">
        <f>H30-H51</f>
        <v>0</v>
      </c>
      <c r="I52" s="413">
        <f t="shared" ref="I52:R52" si="14">I30-I51</f>
        <v>1.3073986337985843E-12</v>
      </c>
      <c r="J52" s="413">
        <f t="shared" si="14"/>
        <v>0.17299999999835336</v>
      </c>
      <c r="K52" s="413">
        <f t="shared" si="14"/>
        <v>4.7000000001702347E-2</v>
      </c>
      <c r="L52" s="413">
        <f t="shared" si="14"/>
        <v>0</v>
      </c>
      <c r="M52" s="413">
        <f t="shared" si="14"/>
        <v>1.9999999976789695E-3</v>
      </c>
      <c r="N52" s="413">
        <f t="shared" si="14"/>
        <v>0</v>
      </c>
      <c r="O52" s="413">
        <f t="shared" si="14"/>
        <v>0</v>
      </c>
      <c r="P52" s="413">
        <f t="shared" si="14"/>
        <v>0</v>
      </c>
      <c r="Q52" s="413">
        <f t="shared" si="14"/>
        <v>0</v>
      </c>
      <c r="R52" s="413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410">
        <v>349</v>
      </c>
      <c r="I54" s="410">
        <v>336</v>
      </c>
      <c r="J54" s="410">
        <v>342</v>
      </c>
      <c r="K54" s="410">
        <v>337</v>
      </c>
      <c r="L54" s="410">
        <v>349</v>
      </c>
      <c r="M54" s="410">
        <v>349</v>
      </c>
      <c r="N54" s="410">
        <v>350</v>
      </c>
      <c r="O54" s="410">
        <v>350</v>
      </c>
      <c r="P54" s="410">
        <v>350</v>
      </c>
      <c r="Q54" s="410">
        <v>350</v>
      </c>
      <c r="R54" s="410">
        <v>350</v>
      </c>
    </row>
    <row r="55" spans="1:18" ht="12" x14ac:dyDescent="0.2">
      <c r="E55" s="20" t="s">
        <v>14</v>
      </c>
      <c r="G55" s="46" t="s">
        <v>122</v>
      </c>
      <c r="H55" s="410"/>
      <c r="I55" s="410"/>
      <c r="J55" s="410"/>
      <c r="K55" s="410"/>
      <c r="L55" s="423"/>
      <c r="M55" s="423"/>
      <c r="N55" s="423"/>
      <c r="O55" s="423"/>
      <c r="P55" s="423"/>
      <c r="Q55" s="423"/>
      <c r="R55" s="423"/>
    </row>
    <row r="57" spans="1:18" x14ac:dyDescent="0.2">
      <c r="D57" s="49" t="s">
        <v>123</v>
      </c>
      <c r="E57" s="50" t="s">
        <v>3</v>
      </c>
      <c r="F57" s="17"/>
      <c r="G57" s="406" t="s">
        <v>124</v>
      </c>
      <c r="H57" s="414">
        <f>H32</f>
        <v>2011</v>
      </c>
      <c r="I57" s="414">
        <f t="shared" ref="I57:R57" si="15">I32</f>
        <v>2012</v>
      </c>
      <c r="J57" s="414">
        <f t="shared" si="15"/>
        <v>2013</v>
      </c>
      <c r="K57" s="414">
        <f t="shared" si="15"/>
        <v>2014</v>
      </c>
      <c r="L57" s="414">
        <f t="shared" si="15"/>
        <v>2015</v>
      </c>
      <c r="M57" s="414">
        <f t="shared" si="15"/>
        <v>2016</v>
      </c>
      <c r="N57" s="414">
        <f t="shared" si="15"/>
        <v>2017</v>
      </c>
      <c r="O57" s="414">
        <f t="shared" si="15"/>
        <v>2018</v>
      </c>
      <c r="P57" s="414">
        <f t="shared" si="15"/>
        <v>2019</v>
      </c>
      <c r="Q57" s="414">
        <f t="shared" si="15"/>
        <v>2020</v>
      </c>
      <c r="R57" s="414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408" t="s">
        <v>128</v>
      </c>
      <c r="H58" s="410">
        <v>-125.363</v>
      </c>
      <c r="I58" s="410">
        <v>-548.16099999999994</v>
      </c>
      <c r="J58" s="410">
        <v>-431.35599999999999</v>
      </c>
      <c r="K58" s="410">
        <v>-645.26499999999999</v>
      </c>
      <c r="L58" s="410">
        <v>145.84700000000001</v>
      </c>
      <c r="M58" s="410">
        <v>-4181</v>
      </c>
      <c r="N58" s="410">
        <v>-6000</v>
      </c>
      <c r="O58" s="410">
        <v>-2500</v>
      </c>
      <c r="P58" s="410">
        <v>-2500</v>
      </c>
      <c r="Q58" s="410">
        <v>-5000</v>
      </c>
      <c r="R58" s="410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410">
        <v>0</v>
      </c>
      <c r="I59" s="410">
        <v>0</v>
      </c>
      <c r="J59" s="410">
        <v>0.377</v>
      </c>
      <c r="K59" s="410">
        <v>0</v>
      </c>
      <c r="L59" s="410">
        <v>0</v>
      </c>
      <c r="M59" s="410">
        <v>3.2</v>
      </c>
      <c r="N59" s="410">
        <v>0</v>
      </c>
      <c r="O59" s="410">
        <v>0</v>
      </c>
      <c r="P59" s="410">
        <v>0</v>
      </c>
      <c r="Q59" s="410">
        <v>0</v>
      </c>
      <c r="R59" s="410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410">
        <v>-27.37</v>
      </c>
      <c r="I60" s="410">
        <v>27.37</v>
      </c>
      <c r="J60" s="410">
        <v>0</v>
      </c>
      <c r="K60" s="410">
        <v>1354.5740000000001</v>
      </c>
      <c r="L60" s="410">
        <v>7401.473</v>
      </c>
      <c r="M60" s="410">
        <v>-3870</v>
      </c>
      <c r="N60" s="410">
        <v>7975</v>
      </c>
      <c r="O60" s="410">
        <v>2500</v>
      </c>
      <c r="P60" s="410">
        <v>2500</v>
      </c>
      <c r="Q60" s="410">
        <v>5000</v>
      </c>
      <c r="R60" s="410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410">
        <v>0</v>
      </c>
      <c r="I61" s="410">
        <v>0</v>
      </c>
      <c r="J61" s="410">
        <v>0</v>
      </c>
      <c r="K61" s="410">
        <v>0</v>
      </c>
      <c r="L61" s="410">
        <v>0</v>
      </c>
      <c r="M61" s="410">
        <v>0</v>
      </c>
      <c r="N61" s="410">
        <v>0</v>
      </c>
      <c r="O61" s="410">
        <v>0</v>
      </c>
      <c r="P61" s="410">
        <v>0</v>
      </c>
      <c r="Q61" s="410">
        <v>0</v>
      </c>
      <c r="R61" s="410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410">
        <v>0</v>
      </c>
      <c r="I62" s="410">
        <v>0</v>
      </c>
      <c r="J62" s="410">
        <v>0</v>
      </c>
      <c r="K62" s="410">
        <v>0</v>
      </c>
      <c r="L62" s="410">
        <v>0</v>
      </c>
      <c r="M62" s="410">
        <v>0</v>
      </c>
      <c r="N62" s="410">
        <v>0</v>
      </c>
      <c r="O62" s="410">
        <v>0</v>
      </c>
      <c r="P62" s="410">
        <v>0</v>
      </c>
      <c r="Q62" s="410">
        <v>0</v>
      </c>
      <c r="R62" s="410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410">
        <v>0</v>
      </c>
      <c r="I63" s="410">
        <v>0</v>
      </c>
      <c r="J63" s="410">
        <v>0</v>
      </c>
      <c r="K63" s="410">
        <v>0</v>
      </c>
      <c r="L63" s="410">
        <v>0</v>
      </c>
      <c r="M63" s="410">
        <v>0</v>
      </c>
      <c r="N63" s="410">
        <v>0</v>
      </c>
      <c r="O63" s="410">
        <v>0</v>
      </c>
      <c r="P63" s="410">
        <v>0</v>
      </c>
      <c r="Q63" s="410">
        <v>0</v>
      </c>
      <c r="R63" s="410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410">
        <v>0</v>
      </c>
      <c r="I64" s="410">
        <v>0</v>
      </c>
      <c r="J64" s="410">
        <v>0</v>
      </c>
      <c r="K64" s="410">
        <v>0</v>
      </c>
      <c r="L64" s="410">
        <v>0</v>
      </c>
      <c r="M64" s="410">
        <v>0</v>
      </c>
      <c r="N64" s="410">
        <v>0</v>
      </c>
      <c r="O64" s="410">
        <v>0</v>
      </c>
      <c r="P64" s="410">
        <v>0</v>
      </c>
      <c r="Q64" s="410">
        <v>0</v>
      </c>
      <c r="R64" s="410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410">
        <v>0</v>
      </c>
      <c r="I65" s="410">
        <v>0</v>
      </c>
      <c r="J65" s="410">
        <v>0</v>
      </c>
      <c r="K65" s="410">
        <v>0</v>
      </c>
      <c r="L65" s="410">
        <v>0</v>
      </c>
      <c r="M65" s="410">
        <v>0</v>
      </c>
      <c r="N65" s="410">
        <v>0</v>
      </c>
      <c r="O65" s="410">
        <v>0</v>
      </c>
      <c r="P65" s="410">
        <v>0</v>
      </c>
      <c r="Q65" s="410">
        <v>0</v>
      </c>
      <c r="R65" s="410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410">
        <v>0</v>
      </c>
      <c r="I66" s="410">
        <v>0</v>
      </c>
      <c r="J66" s="410">
        <v>0</v>
      </c>
      <c r="K66" s="410">
        <v>0</v>
      </c>
      <c r="L66" s="410">
        <v>0</v>
      </c>
      <c r="M66" s="410">
        <v>0</v>
      </c>
      <c r="N66" s="410">
        <v>0</v>
      </c>
      <c r="O66" s="410">
        <v>0</v>
      </c>
      <c r="P66" s="410">
        <v>0</v>
      </c>
      <c r="Q66" s="410">
        <v>0</v>
      </c>
      <c r="R66" s="410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410">
        <v>0</v>
      </c>
      <c r="I67" s="410">
        <v>0</v>
      </c>
      <c r="J67" s="410">
        <v>0</v>
      </c>
      <c r="K67" s="410">
        <v>0</v>
      </c>
      <c r="L67" s="410">
        <v>0</v>
      </c>
      <c r="M67" s="410">
        <v>0</v>
      </c>
      <c r="N67" s="410">
        <v>0</v>
      </c>
      <c r="O67" s="410">
        <v>0</v>
      </c>
      <c r="P67" s="410">
        <v>0</v>
      </c>
      <c r="Q67" s="410">
        <v>0</v>
      </c>
      <c r="R67" s="410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410">
        <v>0</v>
      </c>
      <c r="I68" s="410">
        <v>0</v>
      </c>
      <c r="J68" s="410">
        <v>0</v>
      </c>
      <c r="K68" s="410">
        <v>0</v>
      </c>
      <c r="L68" s="410">
        <v>0</v>
      </c>
      <c r="M68" s="410">
        <v>0</v>
      </c>
      <c r="N68" s="410">
        <v>0</v>
      </c>
      <c r="O68" s="410">
        <v>0</v>
      </c>
      <c r="P68" s="410">
        <v>0</v>
      </c>
      <c r="Q68" s="410">
        <v>0</v>
      </c>
      <c r="R68" s="410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410">
        <v>0</v>
      </c>
      <c r="I69" s="410">
        <v>0</v>
      </c>
      <c r="J69" s="410">
        <v>0</v>
      </c>
      <c r="K69" s="410">
        <v>0</v>
      </c>
      <c r="L69" s="410">
        <v>0</v>
      </c>
      <c r="M69" s="410">
        <v>0</v>
      </c>
      <c r="N69" s="410">
        <v>0</v>
      </c>
      <c r="O69" s="410">
        <v>0</v>
      </c>
      <c r="P69" s="410">
        <v>0</v>
      </c>
      <c r="Q69" s="410">
        <v>0</v>
      </c>
      <c r="R69" s="410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410">
        <v>1.4999999999999999E-2</v>
      </c>
      <c r="I70" s="410">
        <v>0</v>
      </c>
      <c r="J70" s="410">
        <v>3.1E-2</v>
      </c>
      <c r="K70" s="410">
        <v>0.318</v>
      </c>
      <c r="L70" s="410">
        <v>6.359</v>
      </c>
      <c r="M70" s="410">
        <v>19.236000000000001</v>
      </c>
      <c r="N70" s="410">
        <v>10</v>
      </c>
      <c r="O70" s="410">
        <v>0</v>
      </c>
      <c r="P70" s="410">
        <v>0</v>
      </c>
      <c r="Q70" s="410">
        <v>0</v>
      </c>
      <c r="R70" s="410">
        <v>0</v>
      </c>
    </row>
    <row r="71" spans="2:18" x14ac:dyDescent="0.2">
      <c r="B71" s="51" t="s">
        <v>162</v>
      </c>
      <c r="D71" s="16"/>
      <c r="E71" s="22"/>
      <c r="F71" s="22"/>
      <c r="G71" s="424" t="s">
        <v>163</v>
      </c>
      <c r="H71" s="409">
        <f t="shared" ref="H71:R71" si="16">SUM(H58:H70)</f>
        <v>-152.71800000000002</v>
      </c>
      <c r="I71" s="409">
        <f t="shared" si="16"/>
        <v>-520.79099999999994</v>
      </c>
      <c r="J71" s="409">
        <f t="shared" si="16"/>
        <v>-430.94799999999998</v>
      </c>
      <c r="K71" s="409">
        <f t="shared" si="16"/>
        <v>709.62700000000007</v>
      </c>
      <c r="L71" s="409">
        <f t="shared" si="16"/>
        <v>7553.6790000000001</v>
      </c>
      <c r="M71" s="409">
        <f t="shared" si="16"/>
        <v>-8028.5640000000003</v>
      </c>
      <c r="N71" s="409">
        <f t="shared" si="16"/>
        <v>1985</v>
      </c>
      <c r="O71" s="409">
        <f t="shared" si="16"/>
        <v>0</v>
      </c>
      <c r="P71" s="409">
        <f t="shared" si="16"/>
        <v>0</v>
      </c>
      <c r="Q71" s="409">
        <f t="shared" si="16"/>
        <v>0</v>
      </c>
      <c r="R71" s="409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406" t="s">
        <v>164</v>
      </c>
      <c r="H73" s="414">
        <f t="shared" ref="H73:R73" si="17">H57</f>
        <v>2011</v>
      </c>
      <c r="I73" s="414">
        <f t="shared" si="17"/>
        <v>2012</v>
      </c>
      <c r="J73" s="414">
        <f t="shared" si="17"/>
        <v>2013</v>
      </c>
      <c r="K73" s="414">
        <f t="shared" si="17"/>
        <v>2014</v>
      </c>
      <c r="L73" s="414">
        <f t="shared" si="17"/>
        <v>2015</v>
      </c>
      <c r="M73" s="414">
        <f t="shared" si="17"/>
        <v>2016</v>
      </c>
      <c r="N73" s="414">
        <f t="shared" si="17"/>
        <v>2017</v>
      </c>
      <c r="O73" s="414">
        <f t="shared" si="17"/>
        <v>2018</v>
      </c>
      <c r="P73" s="414">
        <f t="shared" si="17"/>
        <v>2019</v>
      </c>
      <c r="Q73" s="414">
        <f t="shared" si="17"/>
        <v>2020</v>
      </c>
      <c r="R73" s="414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408" t="s">
        <v>167</v>
      </c>
      <c r="H74" s="410">
        <v>0</v>
      </c>
      <c r="I74" s="410">
        <v>0</v>
      </c>
      <c r="J74" s="410">
        <v>0</v>
      </c>
      <c r="K74" s="410">
        <v>0</v>
      </c>
      <c r="L74" s="410">
        <v>0</v>
      </c>
      <c r="M74" s="410">
        <v>0</v>
      </c>
      <c r="N74" s="410">
        <v>0</v>
      </c>
      <c r="O74" s="410">
        <v>0</v>
      </c>
      <c r="P74" s="410">
        <v>0</v>
      </c>
      <c r="Q74" s="410">
        <v>0</v>
      </c>
      <c r="R74" s="410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410">
        <v>0</v>
      </c>
      <c r="I76" s="410">
        <v>0</v>
      </c>
      <c r="J76" s="410">
        <v>0</v>
      </c>
      <c r="K76" s="410">
        <v>0</v>
      </c>
      <c r="L76" s="410">
        <v>0</v>
      </c>
      <c r="M76" s="410">
        <v>0</v>
      </c>
      <c r="N76" s="410">
        <v>0</v>
      </c>
      <c r="O76" s="410">
        <v>0</v>
      </c>
      <c r="P76" s="410">
        <v>0</v>
      </c>
      <c r="Q76" s="410">
        <v>0</v>
      </c>
      <c r="R76" s="410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410">
        <v>0</v>
      </c>
      <c r="I77" s="410">
        <v>0</v>
      </c>
      <c r="J77" s="410">
        <v>0</v>
      </c>
      <c r="K77" s="410">
        <v>0</v>
      </c>
      <c r="L77" s="410">
        <v>0</v>
      </c>
      <c r="M77" s="410">
        <v>0</v>
      </c>
      <c r="N77" s="410">
        <v>0</v>
      </c>
      <c r="O77" s="410">
        <v>0</v>
      </c>
      <c r="P77" s="410">
        <v>0</v>
      </c>
      <c r="Q77" s="410">
        <v>0</v>
      </c>
      <c r="R77" s="410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410">
        <v>0</v>
      </c>
      <c r="I78" s="410">
        <f>-91.143-104.955</f>
        <v>-196.09800000000001</v>
      </c>
      <c r="J78" s="410">
        <v>-47.192999999999998</v>
      </c>
      <c r="K78" s="410">
        <v>-35.173000000000002</v>
      </c>
      <c r="L78" s="410">
        <v>0</v>
      </c>
      <c r="M78" s="410">
        <v>0</v>
      </c>
      <c r="N78" s="410">
        <v>0</v>
      </c>
      <c r="O78" s="410">
        <v>0</v>
      </c>
      <c r="P78" s="410">
        <v>0</v>
      </c>
      <c r="Q78" s="410">
        <v>0</v>
      </c>
      <c r="R78" s="410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410">
        <v>0</v>
      </c>
      <c r="I79" s="410">
        <f>-5.389-8.372</f>
        <v>-13.760999999999999</v>
      </c>
      <c r="J79" s="410">
        <v>-2.1669999999999998</v>
      </c>
      <c r="K79" s="410">
        <v>-0.47599999999999998</v>
      </c>
      <c r="L79" s="410">
        <v>-5.0999999999999997E-2</v>
      </c>
      <c r="M79" s="410">
        <v>0</v>
      </c>
      <c r="N79" s="410">
        <v>0</v>
      </c>
      <c r="O79" s="410">
        <v>0</v>
      </c>
      <c r="P79" s="410">
        <v>0</v>
      </c>
      <c r="Q79" s="410">
        <v>0</v>
      </c>
      <c r="R79" s="410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410">
        <v>0</v>
      </c>
      <c r="I80" s="410">
        <f>-14.824-24.878</f>
        <v>-39.701999999999998</v>
      </c>
      <c r="J80" s="410">
        <v>0</v>
      </c>
      <c r="K80" s="410">
        <v>0</v>
      </c>
      <c r="L80" s="410">
        <v>0</v>
      </c>
      <c r="M80" s="410">
        <v>0</v>
      </c>
      <c r="N80" s="410">
        <v>0</v>
      </c>
      <c r="O80" s="410">
        <v>0</v>
      </c>
      <c r="P80" s="410">
        <v>0</v>
      </c>
      <c r="Q80" s="410">
        <v>0</v>
      </c>
      <c r="R80" s="410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410">
        <v>0</v>
      </c>
      <c r="I81" s="410">
        <v>0</v>
      </c>
      <c r="J81" s="410">
        <v>0</v>
      </c>
      <c r="K81" s="410">
        <v>0</v>
      </c>
      <c r="L81" s="410">
        <v>0</v>
      </c>
      <c r="M81" s="410">
        <v>0</v>
      </c>
      <c r="N81" s="410">
        <v>0</v>
      </c>
      <c r="O81" s="410">
        <v>0</v>
      </c>
      <c r="P81" s="410">
        <v>0</v>
      </c>
      <c r="Q81" s="410">
        <v>0</v>
      </c>
      <c r="R81" s="410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410">
        <v>0</v>
      </c>
      <c r="I82" s="410">
        <v>0</v>
      </c>
      <c r="J82" s="410">
        <v>0</v>
      </c>
      <c r="K82" s="410">
        <v>0</v>
      </c>
      <c r="L82" s="410">
        <v>0</v>
      </c>
      <c r="M82" s="410">
        <v>0</v>
      </c>
      <c r="N82" s="410">
        <v>0</v>
      </c>
      <c r="O82" s="410">
        <v>0</v>
      </c>
      <c r="P82" s="410">
        <v>0</v>
      </c>
      <c r="Q82" s="410">
        <v>0</v>
      </c>
      <c r="R82" s="410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410">
        <v>0</v>
      </c>
      <c r="I83" s="410">
        <v>0</v>
      </c>
      <c r="J83" s="410">
        <v>0</v>
      </c>
      <c r="K83" s="410">
        <v>0</v>
      </c>
      <c r="L83" s="410">
        <v>0</v>
      </c>
      <c r="M83" s="410">
        <v>0</v>
      </c>
      <c r="N83" s="410">
        <v>0</v>
      </c>
      <c r="O83" s="410">
        <v>0</v>
      </c>
      <c r="P83" s="410">
        <v>0</v>
      </c>
      <c r="Q83" s="410">
        <v>0</v>
      </c>
      <c r="R83" s="410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410">
        <v>0</v>
      </c>
      <c r="I84" s="410">
        <v>0</v>
      </c>
      <c r="J84" s="410">
        <v>0</v>
      </c>
      <c r="K84" s="410">
        <v>0</v>
      </c>
      <c r="L84" s="410">
        <v>0</v>
      </c>
      <c r="M84" s="410">
        <v>0</v>
      </c>
      <c r="N84" s="410">
        <v>0</v>
      </c>
      <c r="O84" s="410">
        <v>0</v>
      </c>
      <c r="P84" s="410">
        <v>0</v>
      </c>
      <c r="Q84" s="410">
        <v>0</v>
      </c>
      <c r="R84" s="410">
        <v>0</v>
      </c>
    </row>
    <row r="85" spans="1:18" x14ac:dyDescent="0.2">
      <c r="B85" s="2" t="s">
        <v>192</v>
      </c>
      <c r="G85" s="186" t="s">
        <v>163</v>
      </c>
      <c r="H85" s="409">
        <f t="shared" ref="H85:Q85" si="18">SUM(H74:H84)</f>
        <v>0</v>
      </c>
      <c r="I85" s="409">
        <f t="shared" si="18"/>
        <v>-249.56100000000001</v>
      </c>
      <c r="J85" s="409">
        <f t="shared" si="18"/>
        <v>-49.36</v>
      </c>
      <c r="K85" s="409">
        <f t="shared" si="18"/>
        <v>-35.649000000000001</v>
      </c>
      <c r="L85" s="409">
        <f t="shared" si="18"/>
        <v>-5.0999999999999997E-2</v>
      </c>
      <c r="M85" s="409">
        <f t="shared" si="18"/>
        <v>0</v>
      </c>
      <c r="N85" s="409">
        <f t="shared" si="18"/>
        <v>0</v>
      </c>
      <c r="O85" s="409">
        <f t="shared" si="18"/>
        <v>0</v>
      </c>
      <c r="P85" s="409">
        <f t="shared" si="18"/>
        <v>0</v>
      </c>
      <c r="Q85" s="409">
        <f t="shared" si="18"/>
        <v>0</v>
      </c>
      <c r="R85" s="409">
        <f>SUM(R74:R84)</f>
        <v>0</v>
      </c>
    </row>
    <row r="87" spans="1:18" x14ac:dyDescent="0.2">
      <c r="A87" s="23" t="s">
        <v>0</v>
      </c>
      <c r="D87" s="1314" t="s">
        <v>193</v>
      </c>
      <c r="E87" s="1315"/>
      <c r="G87" s="406" t="s">
        <v>194</v>
      </c>
      <c r="H87" s="414">
        <f t="shared" ref="H87:R87" si="19">H32</f>
        <v>2011</v>
      </c>
      <c r="I87" s="414">
        <f t="shared" si="19"/>
        <v>2012</v>
      </c>
      <c r="J87" s="414">
        <f t="shared" si="19"/>
        <v>2013</v>
      </c>
      <c r="K87" s="414">
        <f t="shared" si="19"/>
        <v>2014</v>
      </c>
      <c r="L87" s="414">
        <f t="shared" si="19"/>
        <v>2015</v>
      </c>
      <c r="M87" s="414">
        <f t="shared" si="19"/>
        <v>2016</v>
      </c>
      <c r="N87" s="414">
        <f t="shared" si="19"/>
        <v>2017</v>
      </c>
      <c r="O87" s="414">
        <f t="shared" si="19"/>
        <v>2018</v>
      </c>
      <c r="P87" s="414">
        <f t="shared" si="19"/>
        <v>2019</v>
      </c>
      <c r="Q87" s="414">
        <f t="shared" si="19"/>
        <v>2020</v>
      </c>
      <c r="R87" s="414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425"/>
      <c r="G88" s="408" t="s">
        <v>198</v>
      </c>
      <c r="H88" s="409">
        <f>H46+H71</f>
        <v>-4167.57</v>
      </c>
      <c r="I88" s="409">
        <f t="shared" ref="I88:R88" si="20">I46+I71</f>
        <v>-547.22600000000125</v>
      </c>
      <c r="J88" s="409">
        <f t="shared" si="20"/>
        <v>-787.74799999999834</v>
      </c>
      <c r="K88" s="409">
        <f t="shared" si="20"/>
        <v>565.95799999999838</v>
      </c>
      <c r="L88" s="409">
        <f t="shared" si="20"/>
        <v>7853.723</v>
      </c>
      <c r="M88" s="409">
        <f t="shared" si="20"/>
        <v>-4643.632999999998</v>
      </c>
      <c r="N88" s="409">
        <f t="shared" si="20"/>
        <v>7860.3640000000014</v>
      </c>
      <c r="O88" s="409">
        <f t="shared" si="20"/>
        <v>1100</v>
      </c>
      <c r="P88" s="409">
        <f t="shared" si="20"/>
        <v>1100.5900000000001</v>
      </c>
      <c r="Q88" s="409">
        <f t="shared" si="20"/>
        <v>3416.24935</v>
      </c>
      <c r="R88" s="409">
        <f t="shared" si="20"/>
        <v>-2068.506890749999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425"/>
      <c r="G89" s="408" t="s">
        <v>202</v>
      </c>
      <c r="H89" s="426">
        <f t="shared" ref="H89:R89" si="21">H33+H38+H41-H45</f>
        <v>-3802.0179999999996</v>
      </c>
      <c r="I89" s="409">
        <f t="shared" si="21"/>
        <v>248.01999999999867</v>
      </c>
      <c r="J89" s="409">
        <f t="shared" si="21"/>
        <v>160.35600000000159</v>
      </c>
      <c r="K89" s="409">
        <f t="shared" si="21"/>
        <v>381.22299999999836</v>
      </c>
      <c r="L89" s="409">
        <f t="shared" si="21"/>
        <v>834.29299999999989</v>
      </c>
      <c r="M89" s="409">
        <f t="shared" si="21"/>
        <v>4112.6410000000024</v>
      </c>
      <c r="N89" s="409">
        <f t="shared" si="21"/>
        <v>6700.3640000000014</v>
      </c>
      <c r="O89" s="409">
        <f t="shared" si="21"/>
        <v>2500</v>
      </c>
      <c r="P89" s="409">
        <f t="shared" si="21"/>
        <v>2500.59</v>
      </c>
      <c r="Q89" s="409">
        <f t="shared" si="21"/>
        <v>5016.24935</v>
      </c>
      <c r="R89" s="409">
        <f t="shared" si="21"/>
        <v>31.493109250000998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427">
        <v>0</v>
      </c>
      <c r="G90" s="186" t="s">
        <v>206</v>
      </c>
      <c r="H90" s="428">
        <f t="shared" ref="H90:R90" si="22">H89/H33</f>
        <v>-1.4754918929827145</v>
      </c>
      <c r="I90" s="429">
        <f t="shared" si="22"/>
        <v>3.1114734737539985E-2</v>
      </c>
      <c r="J90" s="429">
        <f t="shared" si="22"/>
        <v>2.0467415651173437E-2</v>
      </c>
      <c r="K90" s="429">
        <f t="shared" si="22"/>
        <v>4.6236001627622335E-2</v>
      </c>
      <c r="L90" s="429">
        <f t="shared" si="22"/>
        <v>9.2238745905164538E-2</v>
      </c>
      <c r="M90" s="429">
        <f t="shared" si="22"/>
        <v>0.31374885404537545</v>
      </c>
      <c r="N90" s="429">
        <f t="shared" si="22"/>
        <v>0.39972080720126529</v>
      </c>
      <c r="O90" s="429">
        <f t="shared" si="22"/>
        <v>0.19910799617712646</v>
      </c>
      <c r="P90" s="429">
        <f t="shared" si="22"/>
        <v>0.18364896365636665</v>
      </c>
      <c r="Q90" s="429">
        <f t="shared" si="22"/>
        <v>0.28977472844703384</v>
      </c>
      <c r="R90" s="429">
        <f t="shared" si="22"/>
        <v>2.3058523249778772E-3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425"/>
      <c r="G91" s="18" t="s">
        <v>210</v>
      </c>
      <c r="H91" s="430">
        <f t="shared" ref="H91:R91" si="23">-H33/(H38+H41)</f>
        <v>0.39091684729972798</v>
      </c>
      <c r="I91" s="430">
        <f t="shared" si="23"/>
        <v>0.99669462429750588</v>
      </c>
      <c r="J91" s="430">
        <f t="shared" si="23"/>
        <v>0.95644263801842344</v>
      </c>
      <c r="K91" s="430">
        <f t="shared" si="23"/>
        <v>0.98287376156657935</v>
      </c>
      <c r="L91" s="430">
        <f t="shared" si="23"/>
        <v>1.0343107960469695</v>
      </c>
      <c r="M91" s="430">
        <f t="shared" si="23"/>
        <v>1.3481316110357813</v>
      </c>
      <c r="N91" s="430">
        <f t="shared" si="23"/>
        <v>1.5396556668233639</v>
      </c>
      <c r="O91" s="430">
        <f t="shared" si="23"/>
        <v>1.0960195530726258</v>
      </c>
      <c r="P91" s="430">
        <f t="shared" si="23"/>
        <v>1.0879378053701196</v>
      </c>
      <c r="Q91" s="430">
        <f t="shared" si="23"/>
        <v>1.2458686882468466</v>
      </c>
      <c r="R91" s="430">
        <f t="shared" si="23"/>
        <v>0.86846923113139773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425"/>
      <c r="G92" s="408" t="s">
        <v>214</v>
      </c>
      <c r="H92" s="426">
        <f>H46</f>
        <v>-4014.8519999999994</v>
      </c>
      <c r="I92" s="426">
        <f t="shared" ref="I92:R92" si="24">I46</f>
        <v>-26.43500000000131</v>
      </c>
      <c r="J92" s="426">
        <f t="shared" si="24"/>
        <v>-356.79999999999836</v>
      </c>
      <c r="K92" s="426">
        <f t="shared" si="24"/>
        <v>-143.66900000000169</v>
      </c>
      <c r="L92" s="426">
        <f t="shared" si="24"/>
        <v>300.04399999999987</v>
      </c>
      <c r="M92" s="426">
        <f t="shared" si="24"/>
        <v>3384.9310000000023</v>
      </c>
      <c r="N92" s="426">
        <f t="shared" si="24"/>
        <v>5875.3640000000014</v>
      </c>
      <c r="O92" s="426">
        <f t="shared" si="24"/>
        <v>1100</v>
      </c>
      <c r="P92" s="426">
        <f t="shared" si="24"/>
        <v>1100.5900000000001</v>
      </c>
      <c r="Q92" s="426">
        <f t="shared" si="24"/>
        <v>3416.24935</v>
      </c>
      <c r="R92" s="426">
        <f t="shared" si="24"/>
        <v>-2068.506890749999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427">
        <v>-0.3</v>
      </c>
      <c r="E93" s="427">
        <v>0</v>
      </c>
      <c r="G93" s="18" t="s">
        <v>218</v>
      </c>
      <c r="H93" s="431">
        <f>H46/H33</f>
        <v>-1.55808877746645</v>
      </c>
      <c r="I93" s="432">
        <f t="shared" ref="I93:R93" si="25">I46/I33</f>
        <v>-3.3163374437017766E-3</v>
      </c>
      <c r="J93" s="432">
        <f t="shared" si="25"/>
        <v>-4.5541008158962407E-2</v>
      </c>
      <c r="K93" s="432">
        <f t="shared" si="25"/>
        <v>-1.7424657268420268E-2</v>
      </c>
      <c r="L93" s="432">
        <f t="shared" si="25"/>
        <v>3.3172617145737986E-2</v>
      </c>
      <c r="M93" s="432">
        <f t="shared" si="25"/>
        <v>0.25823265932345341</v>
      </c>
      <c r="N93" s="432">
        <f t="shared" si="25"/>
        <v>0.35050412793711727</v>
      </c>
      <c r="O93" s="432">
        <f t="shared" si="25"/>
        <v>8.7607518317935645E-2</v>
      </c>
      <c r="P93" s="432">
        <f t="shared" si="25"/>
        <v>8.0829809329222541E-2</v>
      </c>
      <c r="Q93" s="432">
        <f t="shared" si="25"/>
        <v>0.19734719281919386</v>
      </c>
      <c r="R93" s="432">
        <f t="shared" si="25"/>
        <v>-0.15145127098774769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425"/>
      <c r="G94" s="186" t="s">
        <v>222</v>
      </c>
      <c r="H94" s="426">
        <f>H29+H30</f>
        <v>-4023.0749999999998</v>
      </c>
      <c r="I94" s="426">
        <f t="shared" ref="I94:R94" si="26">I29+I30</f>
        <v>10957.575000000001</v>
      </c>
      <c r="J94" s="426">
        <f t="shared" si="26"/>
        <v>10598.840999999999</v>
      </c>
      <c r="K94" s="426">
        <f t="shared" si="26"/>
        <v>10454.789999999999</v>
      </c>
      <c r="L94" s="426">
        <f t="shared" si="26"/>
        <v>10770.445</v>
      </c>
      <c r="M94" s="426">
        <f t="shared" si="26"/>
        <v>14169.975999999999</v>
      </c>
      <c r="N94" s="426">
        <f t="shared" si="26"/>
        <v>20055.364000000001</v>
      </c>
      <c r="O94" s="426">
        <f t="shared" si="26"/>
        <v>21155.364000000001</v>
      </c>
      <c r="P94" s="426">
        <f t="shared" si="26"/>
        <v>22255.954000000002</v>
      </c>
      <c r="Q94" s="426">
        <f t="shared" si="26"/>
        <v>25672.203350000003</v>
      </c>
      <c r="R94" s="426">
        <f t="shared" si="26"/>
        <v>23603.696459250004</v>
      </c>
    </row>
    <row r="95" spans="1:18" x14ac:dyDescent="0.2">
      <c r="G95" s="68" t="s">
        <v>223</v>
      </c>
      <c r="H95" s="414">
        <f t="shared" ref="H95:R95" si="27">H87</f>
        <v>2011</v>
      </c>
      <c r="I95" s="414">
        <f t="shared" si="27"/>
        <v>2012</v>
      </c>
      <c r="J95" s="414">
        <f t="shared" si="27"/>
        <v>2013</v>
      </c>
      <c r="K95" s="414">
        <f t="shared" si="27"/>
        <v>2014</v>
      </c>
      <c r="L95" s="414">
        <f t="shared" si="27"/>
        <v>2015</v>
      </c>
      <c r="M95" s="414">
        <f t="shared" si="27"/>
        <v>2016</v>
      </c>
      <c r="N95" s="414">
        <f t="shared" si="27"/>
        <v>2017</v>
      </c>
      <c r="O95" s="414">
        <f t="shared" si="27"/>
        <v>2018</v>
      </c>
      <c r="P95" s="414">
        <f t="shared" si="27"/>
        <v>2019</v>
      </c>
      <c r="Q95" s="414">
        <f t="shared" si="27"/>
        <v>2020</v>
      </c>
      <c r="R95" s="414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425"/>
      <c r="F96" s="69"/>
      <c r="G96" s="408" t="s">
        <v>227</v>
      </c>
      <c r="H96" s="426">
        <f t="shared" ref="H96:R96" si="28">H6+H12</f>
        <v>58.613999999999997</v>
      </c>
      <c r="I96" s="409">
        <f t="shared" si="28"/>
        <v>402.851</v>
      </c>
      <c r="J96" s="409">
        <f t="shared" si="28"/>
        <v>649.46199999999999</v>
      </c>
      <c r="K96" s="409">
        <f t="shared" si="28"/>
        <v>1552.807</v>
      </c>
      <c r="L96" s="409">
        <f t="shared" si="28"/>
        <v>9023.2919999999995</v>
      </c>
      <c r="M96" s="409">
        <f t="shared" si="28"/>
        <v>656.08</v>
      </c>
      <c r="N96" s="409">
        <f t="shared" si="28"/>
        <v>500</v>
      </c>
      <c r="O96" s="409">
        <f t="shared" si="28"/>
        <v>500</v>
      </c>
      <c r="P96" s="409">
        <f t="shared" si="28"/>
        <v>500</v>
      </c>
      <c r="Q96" s="409">
        <f t="shared" si="28"/>
        <v>500</v>
      </c>
      <c r="R96" s="409">
        <f t="shared" si="28"/>
        <v>500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425"/>
      <c r="F97" s="69"/>
      <c r="G97" s="18" t="s">
        <v>230</v>
      </c>
      <c r="H97" s="426">
        <f>H19</f>
        <v>1449.123</v>
      </c>
      <c r="I97" s="426">
        <f t="shared" ref="I97:R97" si="29">I19</f>
        <v>627.18600000000004</v>
      </c>
      <c r="J97" s="426">
        <f t="shared" si="29"/>
        <v>1474.5060000000001</v>
      </c>
      <c r="K97" s="426">
        <f t="shared" si="29"/>
        <v>2640.43</v>
      </c>
      <c r="L97" s="426">
        <f t="shared" si="29"/>
        <v>10099.922999999999</v>
      </c>
      <c r="M97" s="426">
        <f t="shared" si="29"/>
        <v>1914.6509999999998</v>
      </c>
      <c r="N97" s="426">
        <f t="shared" si="29"/>
        <v>1800</v>
      </c>
      <c r="O97" s="426">
        <f t="shared" si="29"/>
        <v>1800</v>
      </c>
      <c r="P97" s="426">
        <f t="shared" si="29"/>
        <v>1799</v>
      </c>
      <c r="Q97" s="426">
        <f t="shared" si="29"/>
        <v>1780</v>
      </c>
      <c r="R97" s="426">
        <f t="shared" si="29"/>
        <v>1741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425"/>
      <c r="F98" s="69"/>
      <c r="G98" s="18" t="s">
        <v>234</v>
      </c>
      <c r="H98" s="426">
        <f t="shared" ref="H98:R98" si="30">H97-H96</f>
        <v>1390.509</v>
      </c>
      <c r="I98" s="409">
        <f t="shared" si="30"/>
        <v>224.33500000000004</v>
      </c>
      <c r="J98" s="409">
        <f t="shared" si="30"/>
        <v>825.0440000000001</v>
      </c>
      <c r="K98" s="409">
        <f t="shared" si="30"/>
        <v>1087.6229999999998</v>
      </c>
      <c r="L98" s="409">
        <f t="shared" si="30"/>
        <v>1076.6309999999994</v>
      </c>
      <c r="M98" s="409">
        <f t="shared" si="30"/>
        <v>1258.5709999999999</v>
      </c>
      <c r="N98" s="409">
        <f t="shared" si="30"/>
        <v>1300</v>
      </c>
      <c r="O98" s="409">
        <f t="shared" si="30"/>
        <v>1300</v>
      </c>
      <c r="P98" s="409">
        <f t="shared" si="30"/>
        <v>1299</v>
      </c>
      <c r="Q98" s="409">
        <f t="shared" si="30"/>
        <v>1280</v>
      </c>
      <c r="R98" s="409">
        <f t="shared" si="30"/>
        <v>1241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427">
        <v>0.4</v>
      </c>
      <c r="F99" s="69"/>
      <c r="G99" s="18" t="s">
        <v>238</v>
      </c>
      <c r="H99" s="433">
        <f t="shared" ref="H99:R99" si="31">H98/H33</f>
        <v>0.53963046903499712</v>
      </c>
      <c r="I99" s="429">
        <f t="shared" si="31"/>
        <v>2.8143391731900939E-2</v>
      </c>
      <c r="J99" s="429">
        <f t="shared" si="31"/>
        <v>0.10530643367573755</v>
      </c>
      <c r="K99" s="429">
        <f t="shared" si="31"/>
        <v>0.13191055838246823</v>
      </c>
      <c r="L99" s="429">
        <f t="shared" si="31"/>
        <v>0.11903143529026752</v>
      </c>
      <c r="M99" s="429">
        <f t="shared" si="31"/>
        <v>9.6014995956306887E-2</v>
      </c>
      <c r="N99" s="429">
        <f t="shared" si="31"/>
        <v>7.7553555204112001E-2</v>
      </c>
      <c r="O99" s="429">
        <f t="shared" si="31"/>
        <v>0.10353615801210576</v>
      </c>
      <c r="P99" s="429">
        <f t="shared" si="31"/>
        <v>9.540148676497158E-2</v>
      </c>
      <c r="Q99" s="429">
        <f t="shared" si="31"/>
        <v>7.3942028502271981E-2</v>
      </c>
      <c r="R99" s="429">
        <f t="shared" si="31"/>
        <v>9.0863138110044012E-2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434">
        <v>0</v>
      </c>
      <c r="E100" s="434">
        <v>5</v>
      </c>
      <c r="F100" s="69"/>
      <c r="G100" s="18" t="s">
        <v>242</v>
      </c>
      <c r="H100" s="430">
        <f t="shared" ref="H100:R100" si="32">H98/H89</f>
        <v>-0.36572919959873945</v>
      </c>
      <c r="I100" s="430">
        <f t="shared" si="32"/>
        <v>0.90450366905895185</v>
      </c>
      <c r="J100" s="430">
        <f t="shared" si="32"/>
        <v>5.1450772032227787</v>
      </c>
      <c r="K100" s="430">
        <f t="shared" si="32"/>
        <v>2.8529836867135625</v>
      </c>
      <c r="L100" s="430">
        <f t="shared" si="32"/>
        <v>1.2904710934887378</v>
      </c>
      <c r="M100" s="430">
        <f t="shared" si="32"/>
        <v>0.30602500923372578</v>
      </c>
      <c r="N100" s="430">
        <f t="shared" si="32"/>
        <v>0.19401930999569572</v>
      </c>
      <c r="O100" s="430">
        <f t="shared" si="32"/>
        <v>0.52</v>
      </c>
      <c r="P100" s="430">
        <f t="shared" si="32"/>
        <v>0.51947740333281345</v>
      </c>
      <c r="Q100" s="430">
        <f t="shared" si="32"/>
        <v>0.25517072830520277</v>
      </c>
      <c r="R100" s="430">
        <f t="shared" si="32"/>
        <v>39.405445494396865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425"/>
      <c r="F101" s="69"/>
      <c r="G101" s="18" t="s">
        <v>246</v>
      </c>
      <c r="H101" s="426">
        <f t="shared" ref="H101:R101" si="33">-(H75+H77+H78+H79+H80+H81)</f>
        <v>0</v>
      </c>
      <c r="I101" s="426">
        <f t="shared" si="33"/>
        <v>249.56100000000001</v>
      </c>
      <c r="J101" s="426">
        <f t="shared" si="33"/>
        <v>49.36</v>
      </c>
      <c r="K101" s="426">
        <f t="shared" si="33"/>
        <v>35.649000000000001</v>
      </c>
      <c r="L101" s="426">
        <f t="shared" si="33"/>
        <v>5.0999999999999997E-2</v>
      </c>
      <c r="M101" s="426">
        <f t="shared" si="33"/>
        <v>0</v>
      </c>
      <c r="N101" s="426">
        <f t="shared" si="33"/>
        <v>0</v>
      </c>
      <c r="O101" s="426">
        <f t="shared" si="33"/>
        <v>0</v>
      </c>
      <c r="P101" s="426">
        <f t="shared" si="33"/>
        <v>0</v>
      </c>
      <c r="Q101" s="426">
        <f t="shared" si="33"/>
        <v>0</v>
      </c>
      <c r="R101" s="426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434">
        <v>1.2</v>
      </c>
      <c r="F102" s="69"/>
      <c r="G102" s="18" t="s">
        <v>250</v>
      </c>
      <c r="H102" s="435" t="e">
        <f t="shared" ref="H102:R102" si="34">H89/H101</f>
        <v>#DIV/0!</v>
      </c>
      <c r="I102" s="430">
        <f t="shared" si="34"/>
        <v>0.99382515697564389</v>
      </c>
      <c r="J102" s="430">
        <f t="shared" si="34"/>
        <v>3.2487034035656723</v>
      </c>
      <c r="K102" s="430">
        <f t="shared" si="34"/>
        <v>10.693792252237044</v>
      </c>
      <c r="L102" s="430">
        <f t="shared" si="34"/>
        <v>16358.686274509802</v>
      </c>
      <c r="M102" s="430" t="e">
        <f t="shared" si="34"/>
        <v>#DIV/0!</v>
      </c>
      <c r="N102" s="430" t="e">
        <f t="shared" si="34"/>
        <v>#DIV/0!</v>
      </c>
      <c r="O102" s="430" t="e">
        <f t="shared" si="34"/>
        <v>#DIV/0!</v>
      </c>
      <c r="P102" s="430" t="e">
        <f t="shared" si="34"/>
        <v>#DIV/0!</v>
      </c>
      <c r="Q102" s="430" t="e">
        <f t="shared" si="34"/>
        <v>#DIV/0!</v>
      </c>
      <c r="R102" s="430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434">
        <v>0</v>
      </c>
      <c r="F103" s="69"/>
      <c r="G103" s="408" t="s">
        <v>254</v>
      </c>
      <c r="H103" s="426">
        <f t="shared" ref="H103:R103" si="35">H5-H20</f>
        <v>-793.97400000000005</v>
      </c>
      <c r="I103" s="426">
        <f t="shared" si="35"/>
        <v>-78.823999999999955</v>
      </c>
      <c r="J103" s="426">
        <f t="shared" si="35"/>
        <v>-386.93100000000004</v>
      </c>
      <c r="K103" s="426">
        <f t="shared" si="35"/>
        <v>-651.35500000000002</v>
      </c>
      <c r="L103" s="426">
        <f t="shared" si="35"/>
        <v>-644.56000000000131</v>
      </c>
      <c r="M103" s="426">
        <f t="shared" si="35"/>
        <v>-695.52000000000021</v>
      </c>
      <c r="N103" s="426">
        <f t="shared" si="35"/>
        <v>-850</v>
      </c>
      <c r="O103" s="426">
        <f t="shared" si="35"/>
        <v>-850</v>
      </c>
      <c r="P103" s="426">
        <f t="shared" si="35"/>
        <v>-849</v>
      </c>
      <c r="Q103" s="426">
        <f t="shared" si="35"/>
        <v>-833</v>
      </c>
      <c r="R103" s="426">
        <f t="shared" si="35"/>
        <v>-801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434">
        <v>1</v>
      </c>
      <c r="F104" s="69"/>
      <c r="G104" s="18" t="s">
        <v>258</v>
      </c>
      <c r="H104" s="435">
        <f t="shared" ref="H104:R104" si="36">H5/H20</f>
        <v>0.41908138687519936</v>
      </c>
      <c r="I104" s="435">
        <f t="shared" si="36"/>
        <v>0.86685405025573814</v>
      </c>
      <c r="J104" s="435">
        <f t="shared" si="36"/>
        <v>0.73758601185753059</v>
      </c>
      <c r="K104" s="435">
        <f t="shared" si="36"/>
        <v>0.7533147075721407</v>
      </c>
      <c r="L104" s="435">
        <f t="shared" si="36"/>
        <v>0.93618169168220378</v>
      </c>
      <c r="M104" s="435">
        <f t="shared" si="36"/>
        <v>0.63673797470139459</v>
      </c>
      <c r="N104" s="435">
        <f t="shared" si="36"/>
        <v>0.52777777777777779</v>
      </c>
      <c r="O104" s="435">
        <f t="shared" si="36"/>
        <v>0.52777777777777779</v>
      </c>
      <c r="P104" s="435">
        <f t="shared" si="36"/>
        <v>0.52807115063924404</v>
      </c>
      <c r="Q104" s="435">
        <f t="shared" si="36"/>
        <v>0.53202247191011232</v>
      </c>
      <c r="R104" s="435">
        <f t="shared" si="36"/>
        <v>0.53991958644457205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434">
        <v>1</v>
      </c>
      <c r="F105" s="69"/>
      <c r="G105" s="186" t="s">
        <v>262</v>
      </c>
      <c r="H105" s="435">
        <f t="shared" ref="H105:R105" si="37">-H6/((H38+H41-H45+H47)/12)</f>
        <v>0.11012457920523511</v>
      </c>
      <c r="I105" s="435">
        <f t="shared" si="37"/>
        <v>0.62551921058124016</v>
      </c>
      <c r="J105" s="435">
        <f t="shared" si="37"/>
        <v>1.0152537976869254</v>
      </c>
      <c r="K105" s="435">
        <f t="shared" si="37"/>
        <v>2.369383094189089</v>
      </c>
      <c r="L105" s="435">
        <f t="shared" si="37"/>
        <v>13.212832271673086</v>
      </c>
      <c r="M105" s="435">
        <f t="shared" si="37"/>
        <v>0.87664077298886034</v>
      </c>
      <c r="N105" s="435">
        <f t="shared" si="37"/>
        <v>0.59688153274402567</v>
      </c>
      <c r="O105" s="435">
        <f t="shared" si="37"/>
        <v>0.59665871121718372</v>
      </c>
      <c r="P105" s="435">
        <f t="shared" si="37"/>
        <v>0.5397843561497182</v>
      </c>
      <c r="Q105" s="435">
        <f t="shared" si="37"/>
        <v>0.48801876318273396</v>
      </c>
      <c r="R105" s="435">
        <f t="shared" si="37"/>
        <v>0.44032138269180471</v>
      </c>
    </row>
    <row r="106" spans="1:18" x14ac:dyDescent="0.2">
      <c r="C106" s="16"/>
      <c r="F106" s="69"/>
      <c r="G106" s="68" t="s">
        <v>263</v>
      </c>
      <c r="H106" s="414">
        <f t="shared" ref="H106:R106" si="38">H95</f>
        <v>2011</v>
      </c>
      <c r="I106" s="414">
        <f t="shared" si="38"/>
        <v>2012</v>
      </c>
      <c r="J106" s="414">
        <f t="shared" si="38"/>
        <v>2013</v>
      </c>
      <c r="K106" s="414">
        <f t="shared" si="38"/>
        <v>2014</v>
      </c>
      <c r="L106" s="414">
        <f t="shared" si="38"/>
        <v>2015</v>
      </c>
      <c r="M106" s="414">
        <f t="shared" si="38"/>
        <v>2016</v>
      </c>
      <c r="N106" s="414">
        <f t="shared" si="38"/>
        <v>2017</v>
      </c>
      <c r="O106" s="414">
        <f t="shared" si="38"/>
        <v>2018</v>
      </c>
      <c r="P106" s="414">
        <f t="shared" si="38"/>
        <v>2019</v>
      </c>
      <c r="Q106" s="414">
        <f t="shared" si="38"/>
        <v>2020</v>
      </c>
      <c r="R106" s="414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427">
        <v>0.6</v>
      </c>
      <c r="F107" s="69"/>
      <c r="G107" s="408" t="s">
        <v>267</v>
      </c>
      <c r="H107" s="433">
        <f t="shared" ref="H107:R107" si="39">H17/H4</f>
        <v>0</v>
      </c>
      <c r="I107" s="433">
        <f t="shared" si="39"/>
        <v>0</v>
      </c>
      <c r="J107" s="433">
        <f t="shared" si="39"/>
        <v>0</v>
      </c>
      <c r="K107" s="433">
        <f t="shared" si="39"/>
        <v>0</v>
      </c>
      <c r="L107" s="433">
        <f t="shared" si="39"/>
        <v>0</v>
      </c>
      <c r="M107" s="433">
        <f t="shared" si="39"/>
        <v>0</v>
      </c>
      <c r="N107" s="433">
        <f t="shared" si="39"/>
        <v>0</v>
      </c>
      <c r="O107" s="433">
        <f t="shared" si="39"/>
        <v>0</v>
      </c>
      <c r="P107" s="433">
        <f t="shared" si="39"/>
        <v>0</v>
      </c>
      <c r="Q107" s="433">
        <f t="shared" si="39"/>
        <v>0</v>
      </c>
      <c r="R107" s="433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427">
        <v>0.4</v>
      </c>
      <c r="F108" s="69"/>
      <c r="G108" s="186" t="s">
        <v>271</v>
      </c>
      <c r="H108" s="433" t="e">
        <f t="shared" ref="H108:R108" si="40">H27/H17</f>
        <v>#DIV/0!</v>
      </c>
      <c r="I108" s="433" t="e">
        <f t="shared" si="40"/>
        <v>#DIV/0!</v>
      </c>
      <c r="J108" s="433" t="e">
        <f t="shared" si="40"/>
        <v>#DIV/0!</v>
      </c>
      <c r="K108" s="433" t="e">
        <f t="shared" si="40"/>
        <v>#DIV/0!</v>
      </c>
      <c r="L108" s="433" t="e">
        <f t="shared" si="40"/>
        <v>#DIV/0!</v>
      </c>
      <c r="M108" s="433" t="e">
        <f t="shared" si="40"/>
        <v>#DIV/0!</v>
      </c>
      <c r="N108" s="433" t="e">
        <f t="shared" si="40"/>
        <v>#DIV/0!</v>
      </c>
      <c r="O108" s="433" t="e">
        <f t="shared" si="40"/>
        <v>#DIV/0!</v>
      </c>
      <c r="P108" s="433" t="e">
        <f t="shared" si="40"/>
        <v>#DIV/0!</v>
      </c>
      <c r="Q108" s="433" t="e">
        <f t="shared" si="40"/>
        <v>#DIV/0!</v>
      </c>
      <c r="R108" s="433" t="e">
        <f t="shared" si="40"/>
        <v>#DIV/0!</v>
      </c>
    </row>
    <row r="109" spans="1:18" x14ac:dyDescent="0.2">
      <c r="C109" s="16"/>
      <c r="F109" s="69"/>
      <c r="G109" s="198" t="s">
        <v>272</v>
      </c>
      <c r="H109" s="414">
        <f t="shared" ref="H109:R109" si="41">H95</f>
        <v>2011</v>
      </c>
      <c r="I109" s="414">
        <f t="shared" si="41"/>
        <v>2012</v>
      </c>
      <c r="J109" s="414">
        <f t="shared" si="41"/>
        <v>2013</v>
      </c>
      <c r="K109" s="414">
        <f t="shared" si="41"/>
        <v>2014</v>
      </c>
      <c r="L109" s="414">
        <f t="shared" si="41"/>
        <v>2015</v>
      </c>
      <c r="M109" s="414">
        <f t="shared" si="41"/>
        <v>2016</v>
      </c>
      <c r="N109" s="414">
        <f t="shared" si="41"/>
        <v>2017</v>
      </c>
      <c r="O109" s="414">
        <f t="shared" si="41"/>
        <v>2018</v>
      </c>
      <c r="P109" s="414">
        <f t="shared" si="41"/>
        <v>2019</v>
      </c>
      <c r="Q109" s="414">
        <f t="shared" si="41"/>
        <v>2020</v>
      </c>
      <c r="R109" s="414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425"/>
      <c r="F110" s="69"/>
      <c r="G110" s="18" t="s">
        <v>276</v>
      </c>
      <c r="H110" s="436">
        <f t="shared" ref="H110:R110" si="42">H10/H4</f>
        <v>0.92089699658774715</v>
      </c>
      <c r="I110" s="436">
        <f t="shared" si="42"/>
        <v>0.95570145987474409</v>
      </c>
      <c r="J110" s="436">
        <f t="shared" si="42"/>
        <v>0.90991935294170256</v>
      </c>
      <c r="K110" s="436">
        <f t="shared" si="42"/>
        <v>0.84810686647494271</v>
      </c>
      <c r="L110" s="436">
        <f t="shared" si="42"/>
        <v>0.54694795031884436</v>
      </c>
      <c r="M110" s="436">
        <f t="shared" si="42"/>
        <v>0.92420532789858756</v>
      </c>
      <c r="N110" s="436">
        <f t="shared" si="42"/>
        <v>0.95653168611301764</v>
      </c>
      <c r="O110" s="436">
        <f t="shared" si="42"/>
        <v>0.95861468089740798</v>
      </c>
      <c r="P110" s="436">
        <f t="shared" si="42"/>
        <v>0.96050717106630634</v>
      </c>
      <c r="Q110" s="436">
        <f t="shared" si="42"/>
        <v>0.9655034241585313</v>
      </c>
      <c r="R110" s="436">
        <f t="shared" si="42"/>
        <v>0.96291181692641548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425"/>
      <c r="F111" s="69"/>
      <c r="G111" s="18" t="s">
        <v>280</v>
      </c>
      <c r="H111" s="436">
        <f t="shared" ref="H111:R111" si="43">-(H58)/H15</f>
        <v>1.8800176719831582E-2</v>
      </c>
      <c r="I111" s="436">
        <f t="shared" si="43"/>
        <v>4.9510670254353191E-2</v>
      </c>
      <c r="J111" s="436">
        <f t="shared" si="43"/>
        <v>3.9264965696997382E-2</v>
      </c>
      <c r="K111" s="436">
        <f t="shared" si="43"/>
        <v>5.8099812482205797E-2</v>
      </c>
      <c r="L111" s="436">
        <f t="shared" si="43"/>
        <v>-1.2776779335620091E-2</v>
      </c>
      <c r="M111" s="436">
        <f t="shared" si="43"/>
        <v>0.28125483921788952</v>
      </c>
      <c r="N111" s="436">
        <f t="shared" si="43"/>
        <v>0.28701267639320738</v>
      </c>
      <c r="O111" s="436">
        <f t="shared" si="43"/>
        <v>0.11361054305839582</v>
      </c>
      <c r="P111" s="436">
        <f t="shared" si="43"/>
        <v>0.10820168794633196</v>
      </c>
      <c r="Q111" s="436">
        <f t="shared" si="43"/>
        <v>0.18864365214110546</v>
      </c>
      <c r="R111" s="436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425"/>
      <c r="F112" s="69"/>
      <c r="G112" s="408" t="s">
        <v>284</v>
      </c>
      <c r="H112" s="430">
        <f t="shared" ref="H112:R112" si="44">H33/H4</f>
        <v>0.35586145712090272</v>
      </c>
      <c r="I112" s="430">
        <f t="shared" si="44"/>
        <v>0.68807142417525913</v>
      </c>
      <c r="J112" s="430">
        <f t="shared" si="44"/>
        <v>0.64892497093598234</v>
      </c>
      <c r="K112" s="430">
        <f t="shared" si="44"/>
        <v>0.62963088821722724</v>
      </c>
      <c r="L112" s="430">
        <f t="shared" si="44"/>
        <v>0.43338622490988182</v>
      </c>
      <c r="M112" s="430">
        <f t="shared" si="44"/>
        <v>0.81494247964192956</v>
      </c>
      <c r="N112" s="430">
        <f t="shared" si="44"/>
        <v>0.76699199267902085</v>
      </c>
      <c r="O112" s="430">
        <f t="shared" si="44"/>
        <v>0.54698322805488997</v>
      </c>
      <c r="P112" s="430">
        <f t="shared" si="44"/>
        <v>0.56604198711286635</v>
      </c>
      <c r="Q112" s="430">
        <f t="shared" si="44"/>
        <v>0.63058642721841762</v>
      </c>
      <c r="R112" s="430">
        <f t="shared" si="44"/>
        <v>0.53887961365160775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425"/>
      <c r="F113" s="69"/>
      <c r="G113" s="186" t="s">
        <v>288</v>
      </c>
      <c r="H113" s="430">
        <f t="shared" ref="H113:R113" si="45">H33/H15</f>
        <v>0.3864291646508749</v>
      </c>
      <c r="I113" s="430">
        <f t="shared" si="45"/>
        <v>0.71996481439448567</v>
      </c>
      <c r="J113" s="430">
        <f t="shared" si="45"/>
        <v>0.71316756681573534</v>
      </c>
      <c r="K113" s="430">
        <f t="shared" si="45"/>
        <v>0.74239569694113494</v>
      </c>
      <c r="L113" s="430">
        <f t="shared" si="45"/>
        <v>0.79237197005169957</v>
      </c>
      <c r="M113" s="430">
        <f t="shared" si="45"/>
        <v>0.88177643543227069</v>
      </c>
      <c r="N113" s="430">
        <f t="shared" si="45"/>
        <v>0.80184692657259027</v>
      </c>
      <c r="O113" s="430">
        <f t="shared" si="45"/>
        <v>0.57059759145648714</v>
      </c>
      <c r="P113" s="430">
        <f t="shared" si="45"/>
        <v>0.58931573252542735</v>
      </c>
      <c r="Q113" s="430">
        <f t="shared" si="45"/>
        <v>0.65311671760045276</v>
      </c>
      <c r="R113" s="430">
        <f t="shared" si="45"/>
        <v>0.55963547666461788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427">
        <v>0.5</v>
      </c>
      <c r="E114" s="427">
        <f>1/3</f>
        <v>0.33333333333333331</v>
      </c>
      <c r="F114" s="69"/>
      <c r="G114" s="18" t="s">
        <v>292</v>
      </c>
      <c r="H114" s="436">
        <f t="shared" ref="H114:R114" si="46">H27/H4</f>
        <v>0.79987153644183284</v>
      </c>
      <c r="I114" s="436">
        <f t="shared" si="46"/>
        <v>0.94586111875765067</v>
      </c>
      <c r="J114" s="436">
        <f t="shared" si="46"/>
        <v>0.87787091037216836</v>
      </c>
      <c r="K114" s="436">
        <f t="shared" si="46"/>
        <v>0.79836688501605912</v>
      </c>
      <c r="L114" s="436">
        <f t="shared" si="46"/>
        <v>0.51606397165589035</v>
      </c>
      <c r="M114" s="436">
        <f t="shared" si="46"/>
        <v>0.88096249263195159</v>
      </c>
      <c r="N114" s="436">
        <f t="shared" si="46"/>
        <v>0.91765563944177542</v>
      </c>
      <c r="O114" s="436">
        <f t="shared" si="46"/>
        <v>0.92160156828577655</v>
      </c>
      <c r="P114" s="436">
        <f t="shared" si="46"/>
        <v>0.92521114113489922</v>
      </c>
      <c r="Q114" s="436">
        <f t="shared" si="46"/>
        <v>0.93516695869153443</v>
      </c>
      <c r="R114" s="436">
        <f t="shared" si="46"/>
        <v>0.93129597392976937</v>
      </c>
    </row>
    <row r="115" spans="1:19" x14ac:dyDescent="0.2">
      <c r="A115" s="77"/>
      <c r="C115" s="77"/>
      <c r="D115" s="78"/>
      <c r="E115" s="79"/>
      <c r="F115" s="69"/>
      <c r="G115" s="406" t="s">
        <v>293</v>
      </c>
      <c r="H115" s="414">
        <f t="shared" ref="H115:R115" si="47">H109</f>
        <v>2011</v>
      </c>
      <c r="I115" s="414">
        <f t="shared" si="47"/>
        <v>2012</v>
      </c>
      <c r="J115" s="414">
        <f t="shared" si="47"/>
        <v>2013</v>
      </c>
      <c r="K115" s="414">
        <f t="shared" si="47"/>
        <v>2014</v>
      </c>
      <c r="L115" s="414">
        <f t="shared" si="47"/>
        <v>2015</v>
      </c>
      <c r="M115" s="414">
        <f t="shared" si="47"/>
        <v>2016</v>
      </c>
      <c r="N115" s="414">
        <f t="shared" si="47"/>
        <v>2017</v>
      </c>
      <c r="O115" s="414">
        <f t="shared" si="47"/>
        <v>2018</v>
      </c>
      <c r="P115" s="414">
        <f t="shared" si="47"/>
        <v>2019</v>
      </c>
      <c r="Q115" s="414">
        <f t="shared" si="47"/>
        <v>2020</v>
      </c>
      <c r="R115" s="414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427">
        <v>0.05</v>
      </c>
      <c r="G116" s="408" t="s">
        <v>297</v>
      </c>
      <c r="H116" s="429">
        <f t="shared" ref="H116:R116" si="48">H35/H33</f>
        <v>0.87108678272883211</v>
      </c>
      <c r="I116" s="429">
        <f t="shared" si="48"/>
        <v>0.3005309276222996</v>
      </c>
      <c r="J116" s="429">
        <f t="shared" si="48"/>
        <v>0.28813890313818136</v>
      </c>
      <c r="K116" s="429">
        <f t="shared" si="48"/>
        <v>0.29000036991421024</v>
      </c>
      <c r="L116" s="429">
        <f t="shared" si="48"/>
        <v>0.26828952794548988</v>
      </c>
      <c r="M116" s="429">
        <f t="shared" si="48"/>
        <v>0.21088372526628066</v>
      </c>
      <c r="N116" s="429">
        <f t="shared" si="48"/>
        <v>0.15323449033294934</v>
      </c>
      <c r="O116" s="429">
        <f t="shared" si="48"/>
        <v>0.21535520866517999</v>
      </c>
      <c r="P116" s="429">
        <f t="shared" si="48"/>
        <v>0.20454548792829685</v>
      </c>
      <c r="Q116" s="429">
        <f t="shared" si="48"/>
        <v>0.16571526960540248</v>
      </c>
      <c r="R116" s="429">
        <f t="shared" si="48"/>
        <v>0.21633874784425486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427">
        <v>0.95</v>
      </c>
      <c r="G117" s="18" t="s">
        <v>301</v>
      </c>
      <c r="H117" s="436">
        <f t="shared" ref="H117:R117" si="49">(H36+H34)/H33</f>
        <v>0.12891321727116786</v>
      </c>
      <c r="I117" s="436">
        <f t="shared" si="49"/>
        <v>0.6994690723777004</v>
      </c>
      <c r="J117" s="436">
        <f t="shared" si="49"/>
        <v>0.71188317812418267</v>
      </c>
      <c r="K117" s="436">
        <f t="shared" si="49"/>
        <v>0.70999963008578981</v>
      </c>
      <c r="L117" s="436">
        <f t="shared" si="49"/>
        <v>0.73157315755898611</v>
      </c>
      <c r="M117" s="436">
        <f t="shared" si="49"/>
        <v>0.78909346435290562</v>
      </c>
      <c r="N117" s="436">
        <f t="shared" si="49"/>
        <v>0.84676550966705066</v>
      </c>
      <c r="O117" s="436">
        <f t="shared" si="49"/>
        <v>0.78464479133482001</v>
      </c>
      <c r="P117" s="436">
        <f t="shared" si="49"/>
        <v>0.79545451207170326</v>
      </c>
      <c r="Q117" s="436">
        <f t="shared" si="49"/>
        <v>0.8342847303945975</v>
      </c>
      <c r="R117" s="436">
        <f t="shared" si="49"/>
        <v>0.78366125215574522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427">
        <v>0.95</v>
      </c>
      <c r="G118" s="186" t="s">
        <v>305</v>
      </c>
      <c r="H118" s="429">
        <f t="shared" ref="H118:R118" si="50">H38/(H38+H41)</f>
        <v>0</v>
      </c>
      <c r="I118" s="429">
        <f t="shared" si="50"/>
        <v>5.9739586159709847E-2</v>
      </c>
      <c r="J118" s="429">
        <f t="shared" si="50"/>
        <v>1.6504797596825101E-2</v>
      </c>
      <c r="K118" s="429">
        <f t="shared" si="50"/>
        <v>0</v>
      </c>
      <c r="L118" s="429">
        <f t="shared" si="50"/>
        <v>0</v>
      </c>
      <c r="M118" s="429">
        <f t="shared" si="50"/>
        <v>0</v>
      </c>
      <c r="N118" s="429">
        <f t="shared" si="50"/>
        <v>0</v>
      </c>
      <c r="O118" s="429">
        <f t="shared" si="50"/>
        <v>0</v>
      </c>
      <c r="P118" s="429">
        <f t="shared" si="50"/>
        <v>0</v>
      </c>
      <c r="Q118" s="429">
        <f t="shared" si="50"/>
        <v>0</v>
      </c>
      <c r="R118" s="429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406" t="s">
        <v>306</v>
      </c>
      <c r="H119" s="414">
        <f>H115</f>
        <v>2011</v>
      </c>
      <c r="I119" s="414">
        <f t="shared" ref="I119:R119" si="51">I115</f>
        <v>2012</v>
      </c>
      <c r="J119" s="414">
        <f t="shared" si="51"/>
        <v>2013</v>
      </c>
      <c r="K119" s="414">
        <f t="shared" si="51"/>
        <v>2014</v>
      </c>
      <c r="L119" s="414">
        <f t="shared" si="51"/>
        <v>2015</v>
      </c>
      <c r="M119" s="414">
        <f t="shared" si="51"/>
        <v>2016</v>
      </c>
      <c r="N119" s="414">
        <f t="shared" si="51"/>
        <v>2017</v>
      </c>
      <c r="O119" s="414">
        <f t="shared" si="51"/>
        <v>2018</v>
      </c>
      <c r="P119" s="414">
        <f t="shared" si="51"/>
        <v>2019</v>
      </c>
      <c r="Q119" s="414">
        <f t="shared" si="51"/>
        <v>2020</v>
      </c>
      <c r="R119" s="414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437">
        <v>0.5</v>
      </c>
      <c r="E120" s="438" t="s">
        <v>310</v>
      </c>
      <c r="F120" s="4"/>
      <c r="G120" s="408" t="s">
        <v>311</v>
      </c>
      <c r="H120" s="430">
        <f t="shared" ref="H120:R120" si="52">IF(H116&lt;$D$120,$E$120,H35/H4)</f>
        <v>0.3099862117806414</v>
      </c>
      <c r="I120" s="430" t="str">
        <f t="shared" si="52"/>
        <v>N/A</v>
      </c>
      <c r="J120" s="430" t="str">
        <f t="shared" si="52"/>
        <v>N/A</v>
      </c>
      <c r="K120" s="430" t="str">
        <f t="shared" si="52"/>
        <v>N/A</v>
      </c>
      <c r="L120" s="430" t="str">
        <f t="shared" si="52"/>
        <v>N/A</v>
      </c>
      <c r="M120" s="430" t="str">
        <f t="shared" si="52"/>
        <v>N/A</v>
      </c>
      <c r="N120" s="430" t="str">
        <f t="shared" si="52"/>
        <v>N/A</v>
      </c>
      <c r="O120" s="430" t="str">
        <f t="shared" si="52"/>
        <v>N/A</v>
      </c>
      <c r="P120" s="430" t="str">
        <f t="shared" si="52"/>
        <v>N/A</v>
      </c>
      <c r="Q120" s="430" t="str">
        <f t="shared" si="52"/>
        <v>N/A</v>
      </c>
      <c r="R120" s="430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437">
        <v>0.5</v>
      </c>
      <c r="E121" s="438" t="s">
        <v>310</v>
      </c>
      <c r="F121" s="4"/>
      <c r="G121" s="18" t="s">
        <v>315</v>
      </c>
      <c r="H121" s="430">
        <f t="shared" ref="H121:R121" si="53">IF(H116&lt;$D$121,$E$121,H35/H15)</f>
        <v>0.33661333778832075</v>
      </c>
      <c r="I121" s="430" t="str">
        <f t="shared" si="53"/>
        <v>N/A</v>
      </c>
      <c r="J121" s="430" t="str">
        <f t="shared" si="53"/>
        <v>N/A</v>
      </c>
      <c r="K121" s="430" t="str">
        <f t="shared" si="53"/>
        <v>N/A</v>
      </c>
      <c r="L121" s="430" t="str">
        <f t="shared" si="53"/>
        <v>N/A</v>
      </c>
      <c r="M121" s="430" t="str">
        <f t="shared" si="53"/>
        <v>N/A</v>
      </c>
      <c r="N121" s="430" t="str">
        <f t="shared" si="53"/>
        <v>N/A</v>
      </c>
      <c r="O121" s="430" t="str">
        <f t="shared" si="53"/>
        <v>N/A</v>
      </c>
      <c r="P121" s="430" t="str">
        <f t="shared" si="53"/>
        <v>N/A</v>
      </c>
      <c r="Q121" s="430" t="str">
        <f t="shared" si="53"/>
        <v>N/A</v>
      </c>
      <c r="R121" s="430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437">
        <v>0.5</v>
      </c>
      <c r="E122" s="438" t="s">
        <v>310</v>
      </c>
      <c r="F122" s="4"/>
      <c r="G122" s="408" t="s">
        <v>318</v>
      </c>
      <c r="H122" s="436">
        <f t="shared" ref="H122:R122" si="54">IF(H116&lt;$D$122,$E$122,H46/H33)</f>
        <v>-1.55808877746645</v>
      </c>
      <c r="I122" s="436" t="str">
        <f t="shared" si="54"/>
        <v>N/A</v>
      </c>
      <c r="J122" s="436" t="str">
        <f t="shared" si="54"/>
        <v>N/A</v>
      </c>
      <c r="K122" s="436" t="str">
        <f t="shared" si="54"/>
        <v>N/A</v>
      </c>
      <c r="L122" s="436" t="str">
        <f t="shared" si="54"/>
        <v>N/A</v>
      </c>
      <c r="M122" s="436" t="str">
        <f t="shared" si="54"/>
        <v>N/A</v>
      </c>
      <c r="N122" s="436" t="str">
        <f t="shared" si="54"/>
        <v>N/A</v>
      </c>
      <c r="O122" s="436" t="str">
        <f t="shared" si="54"/>
        <v>N/A</v>
      </c>
      <c r="P122" s="436" t="str">
        <f t="shared" si="54"/>
        <v>N/A</v>
      </c>
      <c r="Q122" s="436" t="str">
        <f t="shared" si="54"/>
        <v>N/A</v>
      </c>
      <c r="R122" s="436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437">
        <v>0.5</v>
      </c>
      <c r="E123" s="438" t="s">
        <v>310</v>
      </c>
      <c r="F123" s="4"/>
      <c r="G123" s="18" t="s">
        <v>322</v>
      </c>
      <c r="H123" s="436">
        <f t="shared" ref="H123:R123" si="55">IF(H116&lt;$D$122,$E$123,H51/H33)</f>
        <v>-1.5612799695744297</v>
      </c>
      <c r="I123" s="436" t="str">
        <f t="shared" si="55"/>
        <v>N/A</v>
      </c>
      <c r="J123" s="436" t="str">
        <f t="shared" si="55"/>
        <v>N/A</v>
      </c>
      <c r="K123" s="436" t="str">
        <f t="shared" si="55"/>
        <v>N/A</v>
      </c>
      <c r="L123" s="436" t="str">
        <f t="shared" si="55"/>
        <v>N/A</v>
      </c>
      <c r="M123" s="436" t="str">
        <f t="shared" si="55"/>
        <v>N/A</v>
      </c>
      <c r="N123" s="436" t="str">
        <f t="shared" si="55"/>
        <v>N/A</v>
      </c>
      <c r="O123" s="436" t="str">
        <f t="shared" si="55"/>
        <v>N/A</v>
      </c>
      <c r="P123" s="436" t="str">
        <f t="shared" si="55"/>
        <v>N/A</v>
      </c>
      <c r="Q123" s="436" t="str">
        <f t="shared" si="55"/>
        <v>N/A</v>
      </c>
      <c r="R123" s="436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437">
        <v>0.5</v>
      </c>
      <c r="E124" s="438" t="s">
        <v>310</v>
      </c>
      <c r="F124" s="4"/>
      <c r="G124" s="18" t="s">
        <v>326</v>
      </c>
      <c r="H124" s="436">
        <f t="shared" ref="H124:R124" si="56">IF(H116&lt;$D$124,$E$124,H51/H4)</f>
        <v>-0.55559936494643525</v>
      </c>
      <c r="I124" s="436" t="str">
        <f t="shared" si="56"/>
        <v>N/A</v>
      </c>
      <c r="J124" s="436" t="str">
        <f t="shared" si="56"/>
        <v>N/A</v>
      </c>
      <c r="K124" s="436" t="str">
        <f t="shared" si="56"/>
        <v>N/A</v>
      </c>
      <c r="L124" s="436" t="str">
        <f t="shared" si="56"/>
        <v>N/A</v>
      </c>
      <c r="M124" s="436" t="str">
        <f t="shared" si="56"/>
        <v>N/A</v>
      </c>
      <c r="N124" s="436" t="str">
        <f t="shared" si="56"/>
        <v>N/A</v>
      </c>
      <c r="O124" s="436" t="str">
        <f t="shared" si="56"/>
        <v>N/A</v>
      </c>
      <c r="P124" s="436" t="str">
        <f t="shared" si="56"/>
        <v>N/A</v>
      </c>
      <c r="Q124" s="436" t="str">
        <f t="shared" si="56"/>
        <v>N/A</v>
      </c>
      <c r="R124" s="436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437">
        <v>0.5</v>
      </c>
      <c r="E125" s="438" t="s">
        <v>310</v>
      </c>
      <c r="F125" s="4"/>
      <c r="G125" s="186" t="s">
        <v>330</v>
      </c>
      <c r="H125" s="436">
        <f t="shared" ref="H125:R125" si="57">IF(H116&lt;$D$125,$E$125,H51/H27)</f>
        <v>-0.69461074639307252</v>
      </c>
      <c r="I125" s="436" t="str">
        <f t="shared" si="57"/>
        <v>N/A</v>
      </c>
      <c r="J125" s="436" t="str">
        <f t="shared" si="57"/>
        <v>N/A</v>
      </c>
      <c r="K125" s="436" t="str">
        <f t="shared" si="57"/>
        <v>N/A</v>
      </c>
      <c r="L125" s="436" t="str">
        <f t="shared" si="57"/>
        <v>N/A</v>
      </c>
      <c r="M125" s="436" t="str">
        <f t="shared" si="57"/>
        <v>N/A</v>
      </c>
      <c r="N125" s="436" t="str">
        <f t="shared" si="57"/>
        <v>N/A</v>
      </c>
      <c r="O125" s="436" t="str">
        <f t="shared" si="57"/>
        <v>N/A</v>
      </c>
      <c r="P125" s="436" t="str">
        <f t="shared" si="57"/>
        <v>N/A</v>
      </c>
      <c r="Q125" s="436" t="str">
        <f t="shared" si="57"/>
        <v>N/A</v>
      </c>
      <c r="R125" s="436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414">
        <f>H119</f>
        <v>2011</v>
      </c>
      <c r="I127" s="414">
        <f t="shared" ref="I127:R127" si="58">I119</f>
        <v>2012</v>
      </c>
      <c r="J127" s="414">
        <f t="shared" si="58"/>
        <v>2013</v>
      </c>
      <c r="K127" s="414">
        <f t="shared" si="58"/>
        <v>2014</v>
      </c>
      <c r="L127" s="414">
        <f t="shared" si="58"/>
        <v>2015</v>
      </c>
      <c r="M127" s="414">
        <f t="shared" si="58"/>
        <v>2016</v>
      </c>
      <c r="N127" s="414">
        <f t="shared" si="58"/>
        <v>2017</v>
      </c>
      <c r="O127" s="414">
        <f t="shared" si="58"/>
        <v>2018</v>
      </c>
      <c r="P127" s="414">
        <f t="shared" si="58"/>
        <v>2019</v>
      </c>
      <c r="Q127" s="414">
        <f t="shared" si="58"/>
        <v>2020</v>
      </c>
      <c r="R127" s="414">
        <f t="shared" si="58"/>
        <v>2021</v>
      </c>
    </row>
    <row r="128" spans="1:19" x14ac:dyDescent="0.2">
      <c r="G128" s="439" t="s">
        <v>331</v>
      </c>
      <c r="H128" s="440">
        <f t="shared" ref="H128:R128" si="59">H33</f>
        <v>2576.7800000000002</v>
      </c>
      <c r="I128" s="440">
        <f t="shared" si="59"/>
        <v>7971.1429999999991</v>
      </c>
      <c r="J128" s="440">
        <f t="shared" si="59"/>
        <v>7834.697000000001</v>
      </c>
      <c r="K128" s="440">
        <f t="shared" si="59"/>
        <v>8245.1549999999988</v>
      </c>
      <c r="L128" s="440">
        <f t="shared" si="59"/>
        <v>9044.93</v>
      </c>
      <c r="M128" s="440">
        <f t="shared" si="59"/>
        <v>13108.067000000001</v>
      </c>
      <c r="N128" s="440">
        <f t="shared" si="59"/>
        <v>16762.61</v>
      </c>
      <c r="O128" s="440">
        <f t="shared" si="59"/>
        <v>12556</v>
      </c>
      <c r="P128" s="440">
        <f t="shared" si="59"/>
        <v>13616.14</v>
      </c>
      <c r="Q128" s="440">
        <f t="shared" si="59"/>
        <v>17310.8586</v>
      </c>
      <c r="R128" s="440">
        <f t="shared" si="59"/>
        <v>13657.903807999999</v>
      </c>
    </row>
    <row r="129" spans="3:19" x14ac:dyDescent="0.2">
      <c r="G129" s="439" t="s">
        <v>332</v>
      </c>
      <c r="H129" s="440">
        <f t="shared" ref="H129:R130" si="60">H35</f>
        <v>2244.5990000000002</v>
      </c>
      <c r="I129" s="440">
        <f t="shared" si="60"/>
        <v>2395.5749999999998</v>
      </c>
      <c r="J129" s="440">
        <f t="shared" si="60"/>
        <v>2257.4810000000002</v>
      </c>
      <c r="K129" s="440">
        <f t="shared" si="60"/>
        <v>2391.098</v>
      </c>
      <c r="L129" s="440">
        <f t="shared" si="60"/>
        <v>2426.66</v>
      </c>
      <c r="M129" s="440">
        <f t="shared" si="60"/>
        <v>2764.2779999999998</v>
      </c>
      <c r="N129" s="440">
        <f t="shared" si="60"/>
        <v>2568.61</v>
      </c>
      <c r="O129" s="440">
        <f t="shared" si="60"/>
        <v>2704</v>
      </c>
      <c r="P129" s="440">
        <f t="shared" si="60"/>
        <v>2785.12</v>
      </c>
      <c r="Q129" s="440">
        <f t="shared" si="60"/>
        <v>2868.6736000000001</v>
      </c>
      <c r="R129" s="440">
        <f t="shared" si="60"/>
        <v>2954.733808</v>
      </c>
    </row>
    <row r="130" spans="3:19" x14ac:dyDescent="0.2">
      <c r="G130" s="439" t="s">
        <v>333</v>
      </c>
      <c r="H130" s="440">
        <f t="shared" si="60"/>
        <v>332.18099999999998</v>
      </c>
      <c r="I130" s="440">
        <f t="shared" si="60"/>
        <v>5575.5679999999993</v>
      </c>
      <c r="J130" s="440">
        <f t="shared" si="60"/>
        <v>5577.3890000000001</v>
      </c>
      <c r="K130" s="440">
        <f t="shared" si="60"/>
        <v>5854.0569999999998</v>
      </c>
      <c r="L130" s="440">
        <f t="shared" si="60"/>
        <v>6617.0280000000002</v>
      </c>
      <c r="M130" s="440">
        <f t="shared" si="60"/>
        <v>10343.49</v>
      </c>
      <c r="N130" s="440">
        <f t="shared" si="60"/>
        <v>14194</v>
      </c>
      <c r="O130" s="440">
        <f t="shared" si="60"/>
        <v>9852</v>
      </c>
      <c r="P130" s="440">
        <f t="shared" si="60"/>
        <v>10831.02</v>
      </c>
      <c r="Q130" s="440">
        <f t="shared" si="60"/>
        <v>14442.184999999999</v>
      </c>
      <c r="R130" s="440">
        <f t="shared" si="60"/>
        <v>10703.17</v>
      </c>
    </row>
    <row r="131" spans="3:19" x14ac:dyDescent="0.2">
      <c r="G131" s="439" t="s">
        <v>334</v>
      </c>
      <c r="H131" s="440">
        <f t="shared" ref="H131:R131" si="61">H38+H41</f>
        <v>-6591.6319999999996</v>
      </c>
      <c r="I131" s="440">
        <f t="shared" si="61"/>
        <v>-7997.5780000000004</v>
      </c>
      <c r="J131" s="440">
        <f t="shared" si="61"/>
        <v>-8191.4969999999994</v>
      </c>
      <c r="K131" s="440">
        <f t="shared" si="61"/>
        <v>-8388.8240000000005</v>
      </c>
      <c r="L131" s="440">
        <f t="shared" si="61"/>
        <v>-8744.8860000000004</v>
      </c>
      <c r="M131" s="440">
        <f t="shared" si="61"/>
        <v>-9723.1359999999986</v>
      </c>
      <c r="N131" s="440">
        <f t="shared" si="61"/>
        <v>-10887.245999999999</v>
      </c>
      <c r="O131" s="440">
        <f t="shared" si="61"/>
        <v>-11456</v>
      </c>
      <c r="P131" s="440">
        <f t="shared" si="61"/>
        <v>-12515.55</v>
      </c>
      <c r="Q131" s="440">
        <f t="shared" si="61"/>
        <v>-13894.60925</v>
      </c>
      <c r="R131" s="440">
        <f t="shared" si="61"/>
        <v>-15726.410698749998</v>
      </c>
    </row>
    <row r="132" spans="3:19" x14ac:dyDescent="0.2">
      <c r="G132" s="439" t="s">
        <v>335</v>
      </c>
      <c r="H132" s="440">
        <f t="shared" ref="H132:R132" si="62">H41</f>
        <v>-6591.6319999999996</v>
      </c>
      <c r="I132" s="440">
        <f t="shared" si="62"/>
        <v>-7519.8060000000005</v>
      </c>
      <c r="J132" s="440">
        <f t="shared" si="62"/>
        <v>-8056.2979999999998</v>
      </c>
      <c r="K132" s="440">
        <f t="shared" si="62"/>
        <v>-8388.8240000000005</v>
      </c>
      <c r="L132" s="440">
        <f t="shared" si="62"/>
        <v>-8744.8860000000004</v>
      </c>
      <c r="M132" s="440">
        <f t="shared" si="62"/>
        <v>-9723.1359999999986</v>
      </c>
      <c r="N132" s="440">
        <f t="shared" si="62"/>
        <v>-10887.245999999999</v>
      </c>
      <c r="O132" s="440">
        <f t="shared" si="62"/>
        <v>-11456</v>
      </c>
      <c r="P132" s="440">
        <f t="shared" si="62"/>
        <v>-12515.55</v>
      </c>
      <c r="Q132" s="440">
        <f t="shared" si="62"/>
        <v>-13894.60925</v>
      </c>
      <c r="R132" s="440">
        <f t="shared" si="62"/>
        <v>-15726.410698749998</v>
      </c>
    </row>
    <row r="133" spans="3:19" x14ac:dyDescent="0.2">
      <c r="G133" s="439" t="s">
        <v>336</v>
      </c>
      <c r="H133" s="440">
        <f t="shared" ref="H133:R133" si="63">H38</f>
        <v>0</v>
      </c>
      <c r="I133" s="440">
        <f t="shared" si="63"/>
        <v>-477.77199999999999</v>
      </c>
      <c r="J133" s="440">
        <f t="shared" si="63"/>
        <v>-135.19900000000001</v>
      </c>
      <c r="K133" s="440">
        <f t="shared" si="63"/>
        <v>0</v>
      </c>
      <c r="L133" s="440">
        <f t="shared" si="63"/>
        <v>0</v>
      </c>
      <c r="M133" s="440">
        <f t="shared" si="63"/>
        <v>0</v>
      </c>
      <c r="N133" s="440">
        <f t="shared" si="63"/>
        <v>0</v>
      </c>
      <c r="O133" s="440">
        <f t="shared" si="63"/>
        <v>0</v>
      </c>
      <c r="P133" s="440">
        <f t="shared" si="63"/>
        <v>0</v>
      </c>
      <c r="Q133" s="440">
        <f t="shared" si="63"/>
        <v>0</v>
      </c>
      <c r="R133" s="440">
        <f t="shared" si="63"/>
        <v>0</v>
      </c>
    </row>
    <row r="134" spans="3:19" x14ac:dyDescent="0.2">
      <c r="G134" s="439" t="s">
        <v>337</v>
      </c>
      <c r="H134" s="440">
        <f t="shared" ref="H134:R134" si="64">H46</f>
        <v>-4014.8519999999994</v>
      </c>
      <c r="I134" s="440">
        <f t="shared" si="64"/>
        <v>-26.43500000000131</v>
      </c>
      <c r="J134" s="440">
        <f t="shared" si="64"/>
        <v>-356.79999999999836</v>
      </c>
      <c r="K134" s="440">
        <f t="shared" si="64"/>
        <v>-143.66900000000169</v>
      </c>
      <c r="L134" s="440">
        <f t="shared" si="64"/>
        <v>300.04399999999987</v>
      </c>
      <c r="M134" s="440">
        <f t="shared" si="64"/>
        <v>3384.9310000000023</v>
      </c>
      <c r="N134" s="440">
        <f t="shared" si="64"/>
        <v>5875.3640000000014</v>
      </c>
      <c r="O134" s="440">
        <f t="shared" si="64"/>
        <v>1100</v>
      </c>
      <c r="P134" s="440">
        <f t="shared" si="64"/>
        <v>1100.5900000000001</v>
      </c>
      <c r="Q134" s="440">
        <f t="shared" si="64"/>
        <v>3416.24935</v>
      </c>
      <c r="R134" s="440">
        <f t="shared" si="64"/>
        <v>-2068.506890749999</v>
      </c>
    </row>
    <row r="135" spans="3:19" x14ac:dyDescent="0.2">
      <c r="G135" s="439" t="s">
        <v>338</v>
      </c>
      <c r="H135" s="440">
        <f t="shared" ref="H135:R135" si="65">H51</f>
        <v>-4023.0749999999994</v>
      </c>
      <c r="I135" s="440">
        <f t="shared" si="65"/>
        <v>-31.631000000001308</v>
      </c>
      <c r="J135" s="440">
        <f t="shared" si="65"/>
        <v>-358.90799999999837</v>
      </c>
      <c r="K135" s="440">
        <f t="shared" si="65"/>
        <v>-144.09800000000169</v>
      </c>
      <c r="L135" s="440">
        <f t="shared" si="65"/>
        <v>315.65499999999986</v>
      </c>
      <c r="M135" s="440">
        <f t="shared" si="65"/>
        <v>3399.5290000000023</v>
      </c>
      <c r="N135" s="440">
        <f t="shared" si="65"/>
        <v>5885.3640000000014</v>
      </c>
      <c r="O135" s="440">
        <f t="shared" si="65"/>
        <v>1100</v>
      </c>
      <c r="P135" s="440">
        <f t="shared" si="65"/>
        <v>1100.5900000000001</v>
      </c>
      <c r="Q135" s="440">
        <f t="shared" si="65"/>
        <v>3416.24935</v>
      </c>
      <c r="R135" s="440">
        <f t="shared" si="65"/>
        <v>-2068.506890749999</v>
      </c>
    </row>
    <row r="136" spans="3:19" x14ac:dyDescent="0.2">
      <c r="G136" s="439" t="s">
        <v>339</v>
      </c>
      <c r="H136" s="440">
        <f t="shared" ref="H136:R137" si="66">H4</f>
        <v>7240.9639999999999</v>
      </c>
      <c r="I136" s="440">
        <f t="shared" si="66"/>
        <v>11584.761</v>
      </c>
      <c r="J136" s="440">
        <f t="shared" si="66"/>
        <v>12073.348</v>
      </c>
      <c r="K136" s="440">
        <f t="shared" si="66"/>
        <v>13095.220000000001</v>
      </c>
      <c r="L136" s="440">
        <f t="shared" si="66"/>
        <v>20870.367999999999</v>
      </c>
      <c r="M136" s="440">
        <f t="shared" si="66"/>
        <v>16084.653</v>
      </c>
      <c r="N136" s="440">
        <f t="shared" si="66"/>
        <v>21855</v>
      </c>
      <c r="O136" s="440">
        <f t="shared" si="66"/>
        <v>22955</v>
      </c>
      <c r="P136" s="440">
        <f t="shared" si="66"/>
        <v>24055</v>
      </c>
      <c r="Q136" s="440">
        <f t="shared" si="66"/>
        <v>27452</v>
      </c>
      <c r="R136" s="440">
        <f t="shared" si="66"/>
        <v>25345</v>
      </c>
    </row>
    <row r="137" spans="3:19" x14ac:dyDescent="0.2">
      <c r="G137" s="439" t="s">
        <v>340</v>
      </c>
      <c r="H137" s="440">
        <f t="shared" si="66"/>
        <v>572.78200000000004</v>
      </c>
      <c r="I137" s="440">
        <f t="shared" si="66"/>
        <v>513.18799999999999</v>
      </c>
      <c r="J137" s="440">
        <f t="shared" si="66"/>
        <v>1087.575</v>
      </c>
      <c r="K137" s="440">
        <f t="shared" si="66"/>
        <v>1989.0740000000001</v>
      </c>
      <c r="L137" s="440">
        <f t="shared" si="66"/>
        <v>9455.3629999999994</v>
      </c>
      <c r="M137" s="440">
        <f t="shared" si="66"/>
        <v>1219.1309999999999</v>
      </c>
      <c r="N137" s="440">
        <f t="shared" si="66"/>
        <v>950</v>
      </c>
      <c r="O137" s="440">
        <f t="shared" si="66"/>
        <v>950</v>
      </c>
      <c r="P137" s="440">
        <f t="shared" si="66"/>
        <v>950</v>
      </c>
      <c r="Q137" s="440">
        <f t="shared" si="66"/>
        <v>947</v>
      </c>
      <c r="R137" s="440">
        <f t="shared" si="66"/>
        <v>940</v>
      </c>
    </row>
    <row r="138" spans="3:19" x14ac:dyDescent="0.2">
      <c r="G138" s="439" t="s">
        <v>341</v>
      </c>
      <c r="H138" s="440">
        <f t="shared" ref="H138:R138" si="67">H10</f>
        <v>6668.1819999999998</v>
      </c>
      <c r="I138" s="440">
        <f t="shared" si="67"/>
        <v>11071.573</v>
      </c>
      <c r="J138" s="440">
        <f t="shared" si="67"/>
        <v>10985.772999999999</v>
      </c>
      <c r="K138" s="440">
        <f t="shared" si="67"/>
        <v>11106.146000000001</v>
      </c>
      <c r="L138" s="440">
        <f t="shared" si="67"/>
        <v>11415.004999999999</v>
      </c>
      <c r="M138" s="440">
        <f t="shared" si="67"/>
        <v>14865.522000000001</v>
      </c>
      <c r="N138" s="440">
        <f t="shared" si="67"/>
        <v>20905</v>
      </c>
      <c r="O138" s="440">
        <f t="shared" si="67"/>
        <v>22005</v>
      </c>
      <c r="P138" s="440">
        <f t="shared" si="67"/>
        <v>23105</v>
      </c>
      <c r="Q138" s="440">
        <f t="shared" si="67"/>
        <v>26505</v>
      </c>
      <c r="R138" s="440">
        <f t="shared" si="67"/>
        <v>24405</v>
      </c>
    </row>
    <row r="139" spans="3:19" x14ac:dyDescent="0.2">
      <c r="G139" s="439" t="s">
        <v>342</v>
      </c>
      <c r="H139" s="440">
        <f t="shared" ref="H139:R140" si="68">H19</f>
        <v>1449.123</v>
      </c>
      <c r="I139" s="440">
        <f t="shared" si="68"/>
        <v>627.18600000000004</v>
      </c>
      <c r="J139" s="440">
        <f t="shared" si="68"/>
        <v>1474.5060000000001</v>
      </c>
      <c r="K139" s="440">
        <f t="shared" si="68"/>
        <v>2640.43</v>
      </c>
      <c r="L139" s="440">
        <f t="shared" si="68"/>
        <v>10099.922999999999</v>
      </c>
      <c r="M139" s="440">
        <f t="shared" si="68"/>
        <v>1914.6509999999998</v>
      </c>
      <c r="N139" s="440">
        <f t="shared" si="68"/>
        <v>1800</v>
      </c>
      <c r="O139" s="440">
        <f t="shared" si="68"/>
        <v>1800</v>
      </c>
      <c r="P139" s="440">
        <f t="shared" si="68"/>
        <v>1799</v>
      </c>
      <c r="Q139" s="440">
        <f t="shared" si="68"/>
        <v>1780</v>
      </c>
      <c r="R139" s="440">
        <f t="shared" si="68"/>
        <v>1741</v>
      </c>
    </row>
    <row r="140" spans="3:19" x14ac:dyDescent="0.2">
      <c r="G140" s="439" t="s">
        <v>343</v>
      </c>
      <c r="H140" s="440">
        <f t="shared" si="68"/>
        <v>1366.7560000000001</v>
      </c>
      <c r="I140" s="440">
        <f t="shared" si="68"/>
        <v>592.01199999999994</v>
      </c>
      <c r="J140" s="440">
        <f t="shared" si="68"/>
        <v>1474.5060000000001</v>
      </c>
      <c r="K140" s="440">
        <f t="shared" si="68"/>
        <v>2640.4290000000001</v>
      </c>
      <c r="L140" s="440">
        <f t="shared" si="68"/>
        <v>10099.923000000001</v>
      </c>
      <c r="M140" s="440">
        <f t="shared" si="68"/>
        <v>1914.6510000000001</v>
      </c>
      <c r="N140" s="440">
        <f t="shared" si="68"/>
        <v>1800</v>
      </c>
      <c r="O140" s="440">
        <f t="shared" si="68"/>
        <v>1800</v>
      </c>
      <c r="P140" s="440">
        <f t="shared" si="68"/>
        <v>1799</v>
      </c>
      <c r="Q140" s="440">
        <f t="shared" si="68"/>
        <v>1780</v>
      </c>
      <c r="R140" s="440">
        <f t="shared" si="68"/>
        <v>1741</v>
      </c>
    </row>
    <row r="141" spans="3:19" x14ac:dyDescent="0.2">
      <c r="C141" s="78"/>
      <c r="D141" s="78"/>
      <c r="E141" s="79"/>
      <c r="G141" s="439" t="s">
        <v>344</v>
      </c>
      <c r="H141" s="440">
        <f t="shared" ref="H141:R141" si="69">H24</f>
        <v>188.33500000000001</v>
      </c>
      <c r="I141" s="440">
        <f t="shared" si="69"/>
        <v>82.366</v>
      </c>
      <c r="J141" s="440">
        <f t="shared" si="69"/>
        <v>35.173000000000002</v>
      </c>
      <c r="K141" s="440">
        <f t="shared" si="69"/>
        <v>0</v>
      </c>
      <c r="L141" s="440">
        <f t="shared" si="69"/>
        <v>0</v>
      </c>
      <c r="M141" s="440">
        <f t="shared" si="69"/>
        <v>0</v>
      </c>
      <c r="N141" s="440">
        <f t="shared" si="69"/>
        <v>0</v>
      </c>
      <c r="O141" s="440">
        <f t="shared" si="69"/>
        <v>0</v>
      </c>
      <c r="P141" s="440">
        <f t="shared" si="69"/>
        <v>0</v>
      </c>
      <c r="Q141" s="440">
        <f t="shared" si="69"/>
        <v>0</v>
      </c>
      <c r="R141" s="440">
        <f t="shared" si="69"/>
        <v>0</v>
      </c>
    </row>
    <row r="142" spans="3:19" x14ac:dyDescent="0.2">
      <c r="C142" s="16" t="s">
        <v>346</v>
      </c>
      <c r="G142" s="439" t="s">
        <v>345</v>
      </c>
      <c r="H142" s="440">
        <f t="shared" ref="H142:R142" si="70">H27</f>
        <v>5791.8409999999994</v>
      </c>
      <c r="I142" s="440">
        <f t="shared" si="70"/>
        <v>10957.575000000001</v>
      </c>
      <c r="J142" s="440">
        <f t="shared" si="70"/>
        <v>10598.840999999999</v>
      </c>
      <c r="K142" s="440">
        <f t="shared" si="70"/>
        <v>10454.789999999999</v>
      </c>
      <c r="L142" s="440">
        <f t="shared" si="70"/>
        <v>10770.445</v>
      </c>
      <c r="M142" s="440">
        <f t="shared" si="70"/>
        <v>14169.975999999999</v>
      </c>
      <c r="N142" s="440">
        <f t="shared" si="70"/>
        <v>20055.364000000001</v>
      </c>
      <c r="O142" s="440">
        <f t="shared" si="70"/>
        <v>21155.364000000001</v>
      </c>
      <c r="P142" s="440">
        <f t="shared" si="70"/>
        <v>22255.954000000002</v>
      </c>
      <c r="Q142" s="440">
        <f t="shared" si="70"/>
        <v>25672.203350000003</v>
      </c>
      <c r="R142" s="440">
        <f t="shared" si="70"/>
        <v>23603.696459250004</v>
      </c>
    </row>
    <row r="143" spans="3:19" x14ac:dyDescent="0.2">
      <c r="C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347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 t="s">
        <v>348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349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 t="s">
        <v>350</v>
      </c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F149" s="22"/>
    </row>
    <row r="150" spans="3:18" x14ac:dyDescent="0.2">
      <c r="F150" s="22"/>
    </row>
  </sheetData>
  <mergeCells count="3">
    <mergeCell ref="K2:L2"/>
    <mergeCell ref="M2:R2"/>
    <mergeCell ref="D87:E87"/>
  </mergeCells>
  <conditionalFormatting sqref="H116:Q116">
    <cfRule type="cellIs" dxfId="405" priority="51" stopIfTrue="1" operator="greaterThan">
      <formula>$E$116</formula>
    </cfRule>
    <cfRule type="cellIs" dxfId="404" priority="52" stopIfTrue="1" operator="lessThanOrEqual">
      <formula>$E$116</formula>
    </cfRule>
  </conditionalFormatting>
  <conditionalFormatting sqref="H118:Q118">
    <cfRule type="cellIs" dxfId="403" priority="49" stopIfTrue="1" operator="lessThanOrEqual">
      <formula>$E$118</formula>
    </cfRule>
    <cfRule type="cellIs" dxfId="402" priority="50" stopIfTrue="1" operator="greaterThan">
      <formula>$E$118</formula>
    </cfRule>
  </conditionalFormatting>
  <conditionalFormatting sqref="H99:Q99">
    <cfRule type="cellIs" dxfId="401" priority="47" operator="greaterThan">
      <formula>$E$99</formula>
    </cfRule>
    <cfRule type="cellIs" dxfId="400" priority="48" operator="lessThanOrEqual">
      <formula>$E$99</formula>
    </cfRule>
  </conditionalFormatting>
  <conditionalFormatting sqref="H102:Q102">
    <cfRule type="cellIs" dxfId="399" priority="45" stopIfTrue="1" operator="greaterThanOrEqual">
      <formula>$E$102</formula>
    </cfRule>
    <cfRule type="cellIs" dxfId="398" priority="46" stopIfTrue="1" operator="lessThan">
      <formula>$E$102</formula>
    </cfRule>
  </conditionalFormatting>
  <conditionalFormatting sqref="H104:Q104">
    <cfRule type="cellIs" dxfId="397" priority="43" stopIfTrue="1" operator="lessThan">
      <formula>$E$104</formula>
    </cfRule>
    <cfRule type="cellIs" dxfId="396" priority="44" stopIfTrue="1" operator="greaterThanOrEqual">
      <formula>$E$104</formula>
    </cfRule>
  </conditionalFormatting>
  <conditionalFormatting sqref="H103:Q103">
    <cfRule type="cellIs" dxfId="395" priority="41" stopIfTrue="1" operator="greaterThan">
      <formula>$E$103</formula>
    </cfRule>
    <cfRule type="cellIs" dxfId="394" priority="42" stopIfTrue="1" operator="lessThanOrEqual">
      <formula>$E$103</formula>
    </cfRule>
  </conditionalFormatting>
  <conditionalFormatting sqref="H100:Q100">
    <cfRule type="cellIs" dxfId="393" priority="30" stopIfTrue="1" operator="between">
      <formula>$D$100</formula>
      <formula>$E$100</formula>
    </cfRule>
    <cfRule type="cellIs" dxfId="392" priority="39" stopIfTrue="1" operator="lessThanOrEqual">
      <formula>$D$100</formula>
    </cfRule>
    <cfRule type="cellIs" dxfId="391" priority="40" stopIfTrue="1" operator="greaterThan">
      <formula>$E$100</formula>
    </cfRule>
  </conditionalFormatting>
  <conditionalFormatting sqref="H117:Q117">
    <cfRule type="cellIs" dxfId="390" priority="37" stopIfTrue="1" operator="greaterThan">
      <formula>$E$117</formula>
    </cfRule>
    <cfRule type="cellIs" dxfId="389" priority="38" stopIfTrue="1" operator="lessThanOrEqual">
      <formula>$E$117</formula>
    </cfRule>
  </conditionalFormatting>
  <conditionalFormatting sqref="H107:Q107">
    <cfRule type="cellIs" dxfId="388" priority="35" stopIfTrue="1" operator="greaterThan">
      <formula>$E$107</formula>
    </cfRule>
    <cfRule type="cellIs" dxfId="387" priority="36" stopIfTrue="1" operator="lessThanOrEqual">
      <formula>$E$107</formula>
    </cfRule>
  </conditionalFormatting>
  <conditionalFormatting sqref="H108:Q108">
    <cfRule type="cellIs" dxfId="386" priority="33" stopIfTrue="1" operator="lessThan">
      <formula>$E$108</formula>
    </cfRule>
    <cfRule type="cellIs" dxfId="385" priority="34" stopIfTrue="1" operator="greaterThanOrEqual">
      <formula>$E$108</formula>
    </cfRule>
  </conditionalFormatting>
  <conditionalFormatting sqref="H93:Q93">
    <cfRule type="cellIs" dxfId="384" priority="53" stopIfTrue="1" operator="lessThan">
      <formula>$D$93</formula>
    </cfRule>
    <cfRule type="cellIs" dxfId="383" priority="54" stopIfTrue="1" operator="between">
      <formula>$D$93</formula>
      <formula>$E$93</formula>
    </cfRule>
    <cfRule type="cellIs" dxfId="382" priority="55" stopIfTrue="1" operator="greaterThan">
      <formula>$E$93</formula>
    </cfRule>
  </conditionalFormatting>
  <conditionalFormatting sqref="H114:Q114">
    <cfRule type="cellIs" dxfId="381" priority="56" stopIfTrue="1" operator="lessThan">
      <formula>$E$114</formula>
    </cfRule>
    <cfRule type="cellIs" dxfId="380" priority="57" stopIfTrue="1" operator="between">
      <formula>$D$114</formula>
      <formula>$E$114</formula>
    </cfRule>
    <cfRule type="cellIs" dxfId="379" priority="58" stopIfTrue="1" operator="greaterThanOrEqual">
      <formula>$D$114</formula>
    </cfRule>
  </conditionalFormatting>
  <conditionalFormatting sqref="H90:Q90">
    <cfRule type="cellIs" dxfId="378" priority="31" stopIfTrue="1" operator="lessThan">
      <formula>$E$90</formula>
    </cfRule>
    <cfRule type="cellIs" dxfId="377" priority="32" stopIfTrue="1" operator="greaterThan">
      <formula>$E$90</formula>
    </cfRule>
  </conditionalFormatting>
  <conditionalFormatting sqref="R116">
    <cfRule type="cellIs" dxfId="376" priority="22" stopIfTrue="1" operator="greaterThan">
      <formula>$E$116</formula>
    </cfRule>
    <cfRule type="cellIs" dxfId="375" priority="23" stopIfTrue="1" operator="lessThanOrEqual">
      <formula>$E$116</formula>
    </cfRule>
  </conditionalFormatting>
  <conditionalFormatting sqref="R118">
    <cfRule type="cellIs" dxfId="374" priority="20" stopIfTrue="1" operator="lessThanOrEqual">
      <formula>$E$118</formula>
    </cfRule>
    <cfRule type="cellIs" dxfId="373" priority="21" stopIfTrue="1" operator="greaterThan">
      <formula>$E$118</formula>
    </cfRule>
  </conditionalFormatting>
  <conditionalFormatting sqref="R99">
    <cfRule type="cellIs" dxfId="372" priority="18" operator="greaterThan">
      <formula>$E$99</formula>
    </cfRule>
    <cfRule type="cellIs" dxfId="371" priority="19" operator="lessThanOrEqual">
      <formula>$E$99</formula>
    </cfRule>
  </conditionalFormatting>
  <conditionalFormatting sqref="R102">
    <cfRule type="cellIs" dxfId="370" priority="16" stopIfTrue="1" operator="greaterThanOrEqual">
      <formula>$E$102</formula>
    </cfRule>
    <cfRule type="cellIs" dxfId="369" priority="17" stopIfTrue="1" operator="lessThan">
      <formula>$E$102</formula>
    </cfRule>
  </conditionalFormatting>
  <conditionalFormatting sqref="R104">
    <cfRule type="cellIs" dxfId="368" priority="14" stopIfTrue="1" operator="lessThan">
      <formula>$E$104</formula>
    </cfRule>
    <cfRule type="cellIs" dxfId="367" priority="15" stopIfTrue="1" operator="greaterThanOrEqual">
      <formula>$E$104</formula>
    </cfRule>
  </conditionalFormatting>
  <conditionalFormatting sqref="R103">
    <cfRule type="cellIs" dxfId="366" priority="12" stopIfTrue="1" operator="greaterThan">
      <formula>$E$103</formula>
    </cfRule>
    <cfRule type="cellIs" dxfId="365" priority="13" stopIfTrue="1" operator="lessThanOrEqual">
      <formula>$E$103</formula>
    </cfRule>
  </conditionalFormatting>
  <conditionalFormatting sqref="R100">
    <cfRule type="cellIs" dxfId="364" priority="1" stopIfTrue="1" operator="between">
      <formula>$D$100</formula>
      <formula>$E$100</formula>
    </cfRule>
    <cfRule type="cellIs" dxfId="363" priority="10" stopIfTrue="1" operator="lessThanOrEqual">
      <formula>$D$100</formula>
    </cfRule>
    <cfRule type="cellIs" dxfId="362" priority="11" stopIfTrue="1" operator="greaterThan">
      <formula>$E$100</formula>
    </cfRule>
  </conditionalFormatting>
  <conditionalFormatting sqref="R117">
    <cfRule type="cellIs" dxfId="361" priority="8" stopIfTrue="1" operator="greaterThan">
      <formula>$E$117</formula>
    </cfRule>
    <cfRule type="cellIs" dxfId="360" priority="9" stopIfTrue="1" operator="lessThanOrEqual">
      <formula>$E$117</formula>
    </cfRule>
  </conditionalFormatting>
  <conditionalFormatting sqref="R107">
    <cfRule type="cellIs" dxfId="359" priority="6" stopIfTrue="1" operator="greaterThan">
      <formula>$E$107</formula>
    </cfRule>
    <cfRule type="cellIs" dxfId="358" priority="7" stopIfTrue="1" operator="lessThanOrEqual">
      <formula>$E$107</formula>
    </cfRule>
  </conditionalFormatting>
  <conditionalFormatting sqref="R108">
    <cfRule type="cellIs" dxfId="357" priority="4" stopIfTrue="1" operator="lessThan">
      <formula>$E$108</formula>
    </cfRule>
    <cfRule type="cellIs" dxfId="356" priority="5" stopIfTrue="1" operator="greaterThanOrEqual">
      <formula>$E$108</formula>
    </cfRule>
  </conditionalFormatting>
  <conditionalFormatting sqref="R93">
    <cfRule type="cellIs" dxfId="355" priority="24" stopIfTrue="1" operator="lessThan">
      <formula>$D$93</formula>
    </cfRule>
    <cfRule type="cellIs" dxfId="354" priority="25" stopIfTrue="1" operator="between">
      <formula>$D$93</formula>
      <formula>$E$93</formula>
    </cfRule>
    <cfRule type="cellIs" dxfId="353" priority="26" stopIfTrue="1" operator="greaterThan">
      <formula>$E$93</formula>
    </cfRule>
  </conditionalFormatting>
  <conditionalFormatting sqref="R114">
    <cfRule type="cellIs" dxfId="352" priority="27" stopIfTrue="1" operator="lessThan">
      <formula>$E$114</formula>
    </cfRule>
    <cfRule type="cellIs" dxfId="351" priority="28" stopIfTrue="1" operator="between">
      <formula>$D$114</formula>
      <formula>$E$114</formula>
    </cfRule>
    <cfRule type="cellIs" dxfId="350" priority="29" stopIfTrue="1" operator="greaterThanOrEqual">
      <formula>$D$114</formula>
    </cfRule>
  </conditionalFormatting>
  <conditionalFormatting sqref="R90">
    <cfRule type="cellIs" dxfId="349" priority="2" stopIfTrue="1" operator="lessThan">
      <formula>$E$90</formula>
    </cfRule>
    <cfRule type="cellIs" dxfId="348" priority="3" stopIfTrue="1" operator="greaterThan">
      <formula>$E$90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pane ySplit="3" topLeftCell="A4" activePane="bottomLeft" state="frozen"/>
      <selection pane="bottomLeft"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35" style="48" customWidth="1"/>
    <col min="8" max="8" width="8.7109375" style="4" customWidth="1"/>
    <col min="9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35" style="4" customWidth="1"/>
    <col min="264" max="264" width="8.7109375" style="4" customWidth="1"/>
    <col min="265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35" style="4" customWidth="1"/>
    <col min="520" max="520" width="8.7109375" style="4" customWidth="1"/>
    <col min="521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35" style="4" customWidth="1"/>
    <col min="776" max="776" width="8.7109375" style="4" customWidth="1"/>
    <col min="777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35" style="4" customWidth="1"/>
    <col min="1032" max="1032" width="8.7109375" style="4" customWidth="1"/>
    <col min="1033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35" style="4" customWidth="1"/>
    <col min="1288" max="1288" width="8.7109375" style="4" customWidth="1"/>
    <col min="1289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35" style="4" customWidth="1"/>
    <col min="1544" max="1544" width="8.7109375" style="4" customWidth="1"/>
    <col min="1545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35" style="4" customWidth="1"/>
    <col min="1800" max="1800" width="8.7109375" style="4" customWidth="1"/>
    <col min="1801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35" style="4" customWidth="1"/>
    <col min="2056" max="2056" width="8.7109375" style="4" customWidth="1"/>
    <col min="2057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35" style="4" customWidth="1"/>
    <col min="2312" max="2312" width="8.7109375" style="4" customWidth="1"/>
    <col min="2313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35" style="4" customWidth="1"/>
    <col min="2568" max="2568" width="8.7109375" style="4" customWidth="1"/>
    <col min="2569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35" style="4" customWidth="1"/>
    <col min="2824" max="2824" width="8.7109375" style="4" customWidth="1"/>
    <col min="2825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35" style="4" customWidth="1"/>
    <col min="3080" max="3080" width="8.7109375" style="4" customWidth="1"/>
    <col min="3081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35" style="4" customWidth="1"/>
    <col min="3336" max="3336" width="8.7109375" style="4" customWidth="1"/>
    <col min="3337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35" style="4" customWidth="1"/>
    <col min="3592" max="3592" width="8.7109375" style="4" customWidth="1"/>
    <col min="3593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35" style="4" customWidth="1"/>
    <col min="3848" max="3848" width="8.7109375" style="4" customWidth="1"/>
    <col min="3849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35" style="4" customWidth="1"/>
    <col min="4104" max="4104" width="8.7109375" style="4" customWidth="1"/>
    <col min="4105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35" style="4" customWidth="1"/>
    <col min="4360" max="4360" width="8.7109375" style="4" customWidth="1"/>
    <col min="4361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35" style="4" customWidth="1"/>
    <col min="4616" max="4616" width="8.7109375" style="4" customWidth="1"/>
    <col min="4617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35" style="4" customWidth="1"/>
    <col min="4872" max="4872" width="8.7109375" style="4" customWidth="1"/>
    <col min="4873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35" style="4" customWidth="1"/>
    <col min="5128" max="5128" width="8.7109375" style="4" customWidth="1"/>
    <col min="5129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35" style="4" customWidth="1"/>
    <col min="5384" max="5384" width="8.7109375" style="4" customWidth="1"/>
    <col min="5385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35" style="4" customWidth="1"/>
    <col min="5640" max="5640" width="8.7109375" style="4" customWidth="1"/>
    <col min="5641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35" style="4" customWidth="1"/>
    <col min="5896" max="5896" width="8.7109375" style="4" customWidth="1"/>
    <col min="5897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35" style="4" customWidth="1"/>
    <col min="6152" max="6152" width="8.7109375" style="4" customWidth="1"/>
    <col min="6153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35" style="4" customWidth="1"/>
    <col min="6408" max="6408" width="8.7109375" style="4" customWidth="1"/>
    <col min="6409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35" style="4" customWidth="1"/>
    <col min="6664" max="6664" width="8.7109375" style="4" customWidth="1"/>
    <col min="6665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35" style="4" customWidth="1"/>
    <col min="6920" max="6920" width="8.7109375" style="4" customWidth="1"/>
    <col min="6921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35" style="4" customWidth="1"/>
    <col min="7176" max="7176" width="8.7109375" style="4" customWidth="1"/>
    <col min="7177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35" style="4" customWidth="1"/>
    <col min="7432" max="7432" width="8.7109375" style="4" customWidth="1"/>
    <col min="7433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35" style="4" customWidth="1"/>
    <col min="7688" max="7688" width="8.7109375" style="4" customWidth="1"/>
    <col min="7689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35" style="4" customWidth="1"/>
    <col min="7944" max="7944" width="8.7109375" style="4" customWidth="1"/>
    <col min="7945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35" style="4" customWidth="1"/>
    <col min="8200" max="8200" width="8.7109375" style="4" customWidth="1"/>
    <col min="8201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35" style="4" customWidth="1"/>
    <col min="8456" max="8456" width="8.7109375" style="4" customWidth="1"/>
    <col min="8457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35" style="4" customWidth="1"/>
    <col min="8712" max="8712" width="8.7109375" style="4" customWidth="1"/>
    <col min="8713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35" style="4" customWidth="1"/>
    <col min="8968" max="8968" width="8.7109375" style="4" customWidth="1"/>
    <col min="8969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35" style="4" customWidth="1"/>
    <col min="9224" max="9224" width="8.7109375" style="4" customWidth="1"/>
    <col min="9225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35" style="4" customWidth="1"/>
    <col min="9480" max="9480" width="8.7109375" style="4" customWidth="1"/>
    <col min="9481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35" style="4" customWidth="1"/>
    <col min="9736" max="9736" width="8.7109375" style="4" customWidth="1"/>
    <col min="9737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35" style="4" customWidth="1"/>
    <col min="9992" max="9992" width="8.7109375" style="4" customWidth="1"/>
    <col min="9993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35" style="4" customWidth="1"/>
    <col min="10248" max="10248" width="8.7109375" style="4" customWidth="1"/>
    <col min="10249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35" style="4" customWidth="1"/>
    <col min="10504" max="10504" width="8.7109375" style="4" customWidth="1"/>
    <col min="10505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35" style="4" customWidth="1"/>
    <col min="10760" max="10760" width="8.7109375" style="4" customWidth="1"/>
    <col min="10761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35" style="4" customWidth="1"/>
    <col min="11016" max="11016" width="8.7109375" style="4" customWidth="1"/>
    <col min="11017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35" style="4" customWidth="1"/>
    <col min="11272" max="11272" width="8.7109375" style="4" customWidth="1"/>
    <col min="11273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35" style="4" customWidth="1"/>
    <col min="11528" max="11528" width="8.7109375" style="4" customWidth="1"/>
    <col min="11529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35" style="4" customWidth="1"/>
    <col min="11784" max="11784" width="8.7109375" style="4" customWidth="1"/>
    <col min="11785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35" style="4" customWidth="1"/>
    <col min="12040" max="12040" width="8.7109375" style="4" customWidth="1"/>
    <col min="12041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35" style="4" customWidth="1"/>
    <col min="12296" max="12296" width="8.7109375" style="4" customWidth="1"/>
    <col min="12297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35" style="4" customWidth="1"/>
    <col min="12552" max="12552" width="8.7109375" style="4" customWidth="1"/>
    <col min="12553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35" style="4" customWidth="1"/>
    <col min="12808" max="12808" width="8.7109375" style="4" customWidth="1"/>
    <col min="12809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35" style="4" customWidth="1"/>
    <col min="13064" max="13064" width="8.7109375" style="4" customWidth="1"/>
    <col min="13065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35" style="4" customWidth="1"/>
    <col min="13320" max="13320" width="8.7109375" style="4" customWidth="1"/>
    <col min="13321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35" style="4" customWidth="1"/>
    <col min="13576" max="13576" width="8.7109375" style="4" customWidth="1"/>
    <col min="13577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35" style="4" customWidth="1"/>
    <col min="13832" max="13832" width="8.7109375" style="4" customWidth="1"/>
    <col min="13833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35" style="4" customWidth="1"/>
    <col min="14088" max="14088" width="8.7109375" style="4" customWidth="1"/>
    <col min="14089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35" style="4" customWidth="1"/>
    <col min="14344" max="14344" width="8.7109375" style="4" customWidth="1"/>
    <col min="14345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35" style="4" customWidth="1"/>
    <col min="14600" max="14600" width="8.7109375" style="4" customWidth="1"/>
    <col min="14601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35" style="4" customWidth="1"/>
    <col min="14856" max="14856" width="8.7109375" style="4" customWidth="1"/>
    <col min="14857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35" style="4" customWidth="1"/>
    <col min="15112" max="15112" width="8.7109375" style="4" customWidth="1"/>
    <col min="15113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35" style="4" customWidth="1"/>
    <col min="15368" max="15368" width="8.7109375" style="4" customWidth="1"/>
    <col min="15369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35" style="4" customWidth="1"/>
    <col min="15624" max="15624" width="8.7109375" style="4" customWidth="1"/>
    <col min="15625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35" style="4" customWidth="1"/>
    <col min="15880" max="15880" width="8.7109375" style="4" customWidth="1"/>
    <col min="15881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35" style="4" customWidth="1"/>
    <col min="16136" max="16136" width="8.7109375" style="4" customWidth="1"/>
    <col min="16137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6" t="s">
        <v>419</v>
      </c>
      <c r="H2" s="7" t="s">
        <v>510</v>
      </c>
      <c r="I2" s="8"/>
      <c r="J2" s="9"/>
      <c r="K2" s="1274" t="s">
        <v>6</v>
      </c>
      <c r="L2" s="1275"/>
      <c r="M2" s="1276" t="s">
        <v>420</v>
      </c>
      <c r="N2" s="1277"/>
      <c r="O2" s="1277"/>
      <c r="P2" s="1277"/>
      <c r="Q2" s="1277"/>
      <c r="R2" s="1278"/>
    </row>
    <row r="3" spans="1:18" x14ac:dyDescent="0.2">
      <c r="A3" s="1"/>
      <c r="B3" s="10"/>
      <c r="C3" s="3"/>
      <c r="D3" s="3"/>
      <c r="E3" s="1"/>
      <c r="F3" s="1"/>
      <c r="G3" s="11" t="s">
        <v>7</v>
      </c>
      <c r="H3" s="12">
        <v>40908</v>
      </c>
      <c r="I3" s="12">
        <v>41274</v>
      </c>
      <c r="J3" s="12">
        <v>41639</v>
      </c>
      <c r="K3" s="12">
        <v>42004</v>
      </c>
      <c r="L3" s="12">
        <v>42369</v>
      </c>
      <c r="M3" s="12">
        <v>42735</v>
      </c>
      <c r="N3" s="12">
        <v>43100</v>
      </c>
      <c r="O3" s="12">
        <v>43465</v>
      </c>
      <c r="P3" s="12">
        <v>43830</v>
      </c>
      <c r="Q3" s="12">
        <v>44196</v>
      </c>
      <c r="R3" s="12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14" t="s">
        <v>9</v>
      </c>
      <c r="H4" s="15">
        <f t="shared" ref="H4:R4" si="0">H5+H10</f>
        <v>16630.089</v>
      </c>
      <c r="I4" s="15">
        <f t="shared" si="0"/>
        <v>18704.268</v>
      </c>
      <c r="J4" s="15">
        <f t="shared" si="0"/>
        <v>22020.545999999998</v>
      </c>
      <c r="K4" s="15">
        <f t="shared" si="0"/>
        <v>18644.638999999999</v>
      </c>
      <c r="L4" s="15">
        <f t="shared" si="0"/>
        <v>17494.813999999998</v>
      </c>
      <c r="M4" s="15">
        <f t="shared" si="0"/>
        <v>17853</v>
      </c>
      <c r="N4" s="15">
        <f t="shared" si="0"/>
        <v>17976</v>
      </c>
      <c r="O4" s="15">
        <f t="shared" si="0"/>
        <v>21204</v>
      </c>
      <c r="P4" s="15">
        <f t="shared" si="0"/>
        <v>24916</v>
      </c>
      <c r="Q4" s="15">
        <f t="shared" si="0"/>
        <v>27707</v>
      </c>
      <c r="R4" s="15">
        <f t="shared" si="0"/>
        <v>30518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15">
        <f t="shared" ref="H5:Q5" si="1">SUM(H6:H9)</f>
        <v>1145.249</v>
      </c>
      <c r="I5" s="15">
        <f t="shared" si="1"/>
        <v>1259.2250000000001</v>
      </c>
      <c r="J5" s="15">
        <f t="shared" si="1"/>
        <v>2312.9059999999999</v>
      </c>
      <c r="K5" s="15">
        <f t="shared" si="1"/>
        <v>941.47399999999993</v>
      </c>
      <c r="L5" s="15">
        <f t="shared" si="1"/>
        <v>489.06299999999999</v>
      </c>
      <c r="M5" s="15">
        <f t="shared" si="1"/>
        <v>1304</v>
      </c>
      <c r="N5" s="15">
        <f t="shared" si="1"/>
        <v>430</v>
      </c>
      <c r="O5" s="15">
        <f t="shared" si="1"/>
        <v>502</v>
      </c>
      <c r="P5" s="15">
        <f t="shared" si="1"/>
        <v>487</v>
      </c>
      <c r="Q5" s="15">
        <f t="shared" si="1"/>
        <v>472</v>
      </c>
      <c r="R5" s="15">
        <f>SUM(R6:R9)</f>
        <v>506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21">
        <v>11.016999999999999</v>
      </c>
      <c r="I6" s="21">
        <v>18.673999999999999</v>
      </c>
      <c r="J6" s="21">
        <v>86.281000000000006</v>
      </c>
      <c r="K6" s="21">
        <v>131.708</v>
      </c>
      <c r="L6" s="21">
        <v>241.791</v>
      </c>
      <c r="M6" s="21">
        <v>1083</v>
      </c>
      <c r="N6" s="21">
        <v>250</v>
      </c>
      <c r="O6" s="21">
        <v>300</v>
      </c>
      <c r="P6" s="21">
        <v>315</v>
      </c>
      <c r="Q6" s="21">
        <v>350</v>
      </c>
      <c r="R6" s="21">
        <v>323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21">
        <v>1119.5219999999999</v>
      </c>
      <c r="I7" s="21">
        <v>1205.3320000000001</v>
      </c>
      <c r="J7" s="21">
        <v>2196.3679999999999</v>
      </c>
      <c r="K7" s="21">
        <v>776.76099999999997</v>
      </c>
      <c r="L7" s="21">
        <v>208.99299999999999</v>
      </c>
      <c r="M7" s="21">
        <v>180</v>
      </c>
      <c r="N7" s="21">
        <v>130</v>
      </c>
      <c r="O7" s="21">
        <v>142</v>
      </c>
      <c r="P7" s="21">
        <v>112</v>
      </c>
      <c r="Q7" s="21">
        <v>62</v>
      </c>
      <c r="R7" s="21">
        <v>123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21">
        <v>14.71</v>
      </c>
      <c r="I9" s="21">
        <v>35.219000000000001</v>
      </c>
      <c r="J9" s="21">
        <v>30.257000000000001</v>
      </c>
      <c r="K9" s="21">
        <v>33.005000000000003</v>
      </c>
      <c r="L9" s="21">
        <v>38.279000000000003</v>
      </c>
      <c r="M9" s="21">
        <v>41</v>
      </c>
      <c r="N9" s="21">
        <v>50</v>
      </c>
      <c r="O9" s="21">
        <v>60</v>
      </c>
      <c r="P9" s="21">
        <v>60</v>
      </c>
      <c r="Q9" s="21">
        <v>60</v>
      </c>
      <c r="R9" s="21">
        <v>60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15">
        <f>SUM(H11:H16)</f>
        <v>15484.84</v>
      </c>
      <c r="I10" s="15">
        <f t="shared" ref="I10:R10" si="2">SUM(I11:I16)</f>
        <v>17445.043000000001</v>
      </c>
      <c r="J10" s="15">
        <f t="shared" si="2"/>
        <v>19707.64</v>
      </c>
      <c r="K10" s="15">
        <f t="shared" si="2"/>
        <v>17703.165000000001</v>
      </c>
      <c r="L10" s="15">
        <f t="shared" si="2"/>
        <v>17005.751</v>
      </c>
      <c r="M10" s="15">
        <f t="shared" si="2"/>
        <v>16549</v>
      </c>
      <c r="N10" s="15">
        <f t="shared" si="2"/>
        <v>17546</v>
      </c>
      <c r="O10" s="15">
        <f t="shared" si="2"/>
        <v>20702</v>
      </c>
      <c r="P10" s="15">
        <f t="shared" si="2"/>
        <v>24429</v>
      </c>
      <c r="Q10" s="15">
        <f t="shared" si="2"/>
        <v>27235</v>
      </c>
      <c r="R10" s="15">
        <f t="shared" si="2"/>
        <v>30012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21">
        <v>289.98</v>
      </c>
      <c r="I13" s="21">
        <v>195.274</v>
      </c>
      <c r="J13" s="21">
        <v>722.22699999999998</v>
      </c>
      <c r="K13" s="21">
        <v>62.323999999999998</v>
      </c>
      <c r="L13" s="21">
        <v>6.1680000000000001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21">
        <v>15194.86</v>
      </c>
      <c r="I15" s="21">
        <v>17249.769</v>
      </c>
      <c r="J15" s="21">
        <v>18985.413</v>
      </c>
      <c r="K15" s="21">
        <f>17630.411+10.43</f>
        <v>17640.841</v>
      </c>
      <c r="L15" s="21">
        <f>16991.714+7.869</f>
        <v>16999.582999999999</v>
      </c>
      <c r="M15" s="21">
        <v>16549</v>
      </c>
      <c r="N15" s="21">
        <v>17546</v>
      </c>
      <c r="O15" s="21">
        <v>20702</v>
      </c>
      <c r="P15" s="21">
        <v>24429</v>
      </c>
      <c r="Q15" s="21">
        <v>27235</v>
      </c>
      <c r="R15" s="21">
        <v>30012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15">
        <f>H19+H27</f>
        <v>16630.09</v>
      </c>
      <c r="I18" s="15">
        <f t="shared" ref="I18:R18" si="3">I19+I27</f>
        <v>18704.268</v>
      </c>
      <c r="J18" s="15">
        <f t="shared" si="3"/>
        <v>22020.545999999998</v>
      </c>
      <c r="K18" s="15">
        <f t="shared" si="3"/>
        <v>18644.64</v>
      </c>
      <c r="L18" s="15">
        <f t="shared" si="3"/>
        <v>17494.814999999999</v>
      </c>
      <c r="M18" s="15">
        <f t="shared" si="3"/>
        <v>17853</v>
      </c>
      <c r="N18" s="15">
        <f t="shared" si="3"/>
        <v>17976</v>
      </c>
      <c r="O18" s="15">
        <f t="shared" si="3"/>
        <v>21204</v>
      </c>
      <c r="P18" s="15">
        <f t="shared" si="3"/>
        <v>24916</v>
      </c>
      <c r="Q18" s="15">
        <f t="shared" si="3"/>
        <v>27707</v>
      </c>
      <c r="R18" s="15">
        <f t="shared" si="3"/>
        <v>30518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15">
        <f>SUM(H21:H26)</f>
        <v>1496.499</v>
      </c>
      <c r="I19" s="15">
        <f t="shared" ref="I19:R19" si="4">SUM(I21:I26)</f>
        <v>1545.6080000000002</v>
      </c>
      <c r="J19" s="15">
        <f t="shared" si="4"/>
        <v>3026.9259999999999</v>
      </c>
      <c r="K19" s="15">
        <f t="shared" si="4"/>
        <v>949.67100000000005</v>
      </c>
      <c r="L19" s="15">
        <f t="shared" si="4"/>
        <v>355.21</v>
      </c>
      <c r="M19" s="15">
        <f t="shared" si="4"/>
        <v>1151</v>
      </c>
      <c r="N19" s="15">
        <f t="shared" si="4"/>
        <v>400</v>
      </c>
      <c r="O19" s="15">
        <f t="shared" si="4"/>
        <v>436</v>
      </c>
      <c r="P19" s="15">
        <f t="shared" si="4"/>
        <v>364</v>
      </c>
      <c r="Q19" s="15">
        <f t="shared" si="4"/>
        <v>400</v>
      </c>
      <c r="R19" s="15">
        <f t="shared" si="4"/>
        <v>350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31">
        <v>1244.606</v>
      </c>
      <c r="I20" s="31">
        <v>1319.2080000000001</v>
      </c>
      <c r="J20" s="31">
        <v>2879.53</v>
      </c>
      <c r="K20" s="31">
        <v>871.08500000000004</v>
      </c>
      <c r="L20" s="31">
        <v>344.35</v>
      </c>
      <c r="M20" s="31">
        <v>1149</v>
      </c>
      <c r="N20" s="31">
        <v>316</v>
      </c>
      <c r="O20" s="31">
        <v>372</v>
      </c>
      <c r="P20" s="31">
        <v>322</v>
      </c>
      <c r="Q20" s="31">
        <v>381</v>
      </c>
      <c r="R20" s="31">
        <v>344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21">
        <f>192.635+34.101+13.649</f>
        <v>240.38499999999999</v>
      </c>
      <c r="I21" s="21">
        <f>797.759+58.282+19.169</f>
        <v>875.21</v>
      </c>
      <c r="J21" s="21">
        <f>2029.191+67.382+43.953</f>
        <v>2140.5259999999998</v>
      </c>
      <c r="K21" s="21">
        <f>64.766+89.012+53.773</f>
        <v>207.55100000000002</v>
      </c>
      <c r="L21" s="21">
        <f>49.796+92.135+134.694</f>
        <v>276.625</v>
      </c>
      <c r="M21" s="21">
        <v>1140</v>
      </c>
      <c r="N21" s="21">
        <v>280</v>
      </c>
      <c r="O21" s="21">
        <v>350</v>
      </c>
      <c r="P21" s="21">
        <v>300</v>
      </c>
      <c r="Q21" s="21">
        <v>358</v>
      </c>
      <c r="R21" s="21">
        <v>331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21">
        <f>1004.221+251.893</f>
        <v>1256.114</v>
      </c>
      <c r="I24" s="21">
        <f>443.998+226.4</f>
        <v>670.39800000000002</v>
      </c>
      <c r="J24" s="21">
        <f>739.004+147.396</f>
        <v>886.4</v>
      </c>
      <c r="K24" s="21">
        <f>663.534+78.586</f>
        <v>742.12</v>
      </c>
      <c r="L24" s="21">
        <f>67.725+10.86</f>
        <v>78.584999999999994</v>
      </c>
      <c r="M24" s="21">
        <v>11</v>
      </c>
      <c r="N24" s="21">
        <v>120</v>
      </c>
      <c r="O24" s="21">
        <v>86</v>
      </c>
      <c r="P24" s="21">
        <v>64</v>
      </c>
      <c r="Q24" s="21">
        <v>42</v>
      </c>
      <c r="R24" s="21">
        <v>19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15">
        <f>SUM(H28:H30)</f>
        <v>15133.590999999999</v>
      </c>
      <c r="I27" s="15">
        <f t="shared" ref="I27:R27" si="5">SUM(I28:I30)</f>
        <v>17158.66</v>
      </c>
      <c r="J27" s="15">
        <f t="shared" si="5"/>
        <v>18993.62</v>
      </c>
      <c r="K27" s="15">
        <f t="shared" si="5"/>
        <v>17694.969000000001</v>
      </c>
      <c r="L27" s="15">
        <f t="shared" si="5"/>
        <v>17139.605</v>
      </c>
      <c r="M27" s="15">
        <f t="shared" si="5"/>
        <v>16702</v>
      </c>
      <c r="N27" s="15">
        <f t="shared" si="5"/>
        <v>17576</v>
      </c>
      <c r="O27" s="15">
        <f t="shared" si="5"/>
        <v>20768</v>
      </c>
      <c r="P27" s="15">
        <f t="shared" si="5"/>
        <v>24552</v>
      </c>
      <c r="Q27" s="15">
        <f t="shared" si="5"/>
        <v>27307</v>
      </c>
      <c r="R27" s="15">
        <f t="shared" si="5"/>
        <v>30168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21">
        <v>4544.4719999999998</v>
      </c>
      <c r="I28" s="21">
        <v>4544.4719999999998</v>
      </c>
      <c r="J28" s="21">
        <v>4544.4719999999998</v>
      </c>
      <c r="K28" s="21">
        <v>4544.4719999999998</v>
      </c>
      <c r="L28" s="21">
        <v>4544.4719999999998</v>
      </c>
      <c r="M28" s="21">
        <v>4544</v>
      </c>
      <c r="N28" s="21">
        <v>4544</v>
      </c>
      <c r="O28" s="21">
        <v>4544</v>
      </c>
      <c r="P28" s="21">
        <v>4544</v>
      </c>
      <c r="Q28" s="21">
        <v>4544</v>
      </c>
      <c r="R28" s="21">
        <v>4544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21">
        <v>11229.683999999999</v>
      </c>
      <c r="I29" s="21">
        <v>10589.119000000001</v>
      </c>
      <c r="J29" s="21">
        <v>12614.188</v>
      </c>
      <c r="K29" s="21">
        <v>14638.764999999999</v>
      </c>
      <c r="L29" s="21">
        <v>13150.495999999999</v>
      </c>
      <c r="M29" s="21">
        <v>12595</v>
      </c>
      <c r="N29" s="21">
        <v>12158</v>
      </c>
      <c r="O29" s="21">
        <v>13032</v>
      </c>
      <c r="P29" s="21">
        <v>16224</v>
      </c>
      <c r="Q29" s="21">
        <v>20008</v>
      </c>
      <c r="R29" s="21">
        <v>22763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21">
        <v>-640.56500000000005</v>
      </c>
      <c r="I30" s="21">
        <v>2025.069</v>
      </c>
      <c r="J30" s="21">
        <v>1834.96</v>
      </c>
      <c r="K30" s="21">
        <v>-1488.268</v>
      </c>
      <c r="L30" s="21">
        <v>-555.36300000000006</v>
      </c>
      <c r="M30" s="21">
        <v>-437</v>
      </c>
      <c r="N30" s="21">
        <v>874</v>
      </c>
      <c r="O30" s="21">
        <v>3192</v>
      </c>
      <c r="P30" s="21">
        <v>3784</v>
      </c>
      <c r="Q30" s="21">
        <v>2755</v>
      </c>
      <c r="R30" s="21">
        <v>2861</v>
      </c>
    </row>
    <row r="31" spans="1:19" s="40" customFormat="1" x14ac:dyDescent="0.2">
      <c r="A31" s="35"/>
      <c r="B31" s="10"/>
      <c r="C31" s="36"/>
      <c r="D31" s="36"/>
      <c r="E31" s="37"/>
      <c r="F31" s="35"/>
      <c r="G31" s="38" t="s">
        <v>77</v>
      </c>
      <c r="H31" s="39">
        <f t="shared" ref="H31:R31" si="6">H4-H18</f>
        <v>-1.0000000002037268E-3</v>
      </c>
      <c r="I31" s="39">
        <f t="shared" si="6"/>
        <v>0</v>
      </c>
      <c r="J31" s="39">
        <f t="shared" si="6"/>
        <v>0</v>
      </c>
      <c r="K31" s="39">
        <f t="shared" si="6"/>
        <v>-1.0000000002037268E-3</v>
      </c>
      <c r="L31" s="39">
        <f t="shared" si="6"/>
        <v>-1.0000000002037268E-3</v>
      </c>
      <c r="M31" s="39">
        <f t="shared" si="6"/>
        <v>0</v>
      </c>
      <c r="N31" s="39">
        <f t="shared" si="6"/>
        <v>0</v>
      </c>
      <c r="O31" s="39">
        <f t="shared" si="6"/>
        <v>0</v>
      </c>
      <c r="P31" s="39">
        <f t="shared" si="6"/>
        <v>0</v>
      </c>
      <c r="Q31" s="39">
        <f t="shared" si="6"/>
        <v>0</v>
      </c>
      <c r="R31" s="39">
        <f t="shared" si="6"/>
        <v>0</v>
      </c>
      <c r="S31" s="4"/>
    </row>
    <row r="32" spans="1:19" x14ac:dyDescent="0.2">
      <c r="G32" s="11" t="s">
        <v>78</v>
      </c>
      <c r="H32" s="41">
        <v>2011</v>
      </c>
      <c r="I32" s="41">
        <f t="shared" ref="I32:R32" si="7">H32+1</f>
        <v>2012</v>
      </c>
      <c r="J32" s="41">
        <f t="shared" si="7"/>
        <v>2013</v>
      </c>
      <c r="K32" s="41">
        <f t="shared" si="7"/>
        <v>2014</v>
      </c>
      <c r="L32" s="41">
        <f t="shared" si="7"/>
        <v>2015</v>
      </c>
      <c r="M32" s="41">
        <f t="shared" si="7"/>
        <v>2016</v>
      </c>
      <c r="N32" s="41">
        <f t="shared" si="7"/>
        <v>2017</v>
      </c>
      <c r="O32" s="41">
        <f t="shared" si="7"/>
        <v>2018</v>
      </c>
      <c r="P32" s="41">
        <f t="shared" si="7"/>
        <v>2019</v>
      </c>
      <c r="Q32" s="41">
        <f t="shared" si="7"/>
        <v>2020</v>
      </c>
      <c r="R32" s="41">
        <f t="shared" si="7"/>
        <v>2021</v>
      </c>
    </row>
    <row r="33" spans="1:18" x14ac:dyDescent="0.2">
      <c r="B33" s="2" t="s">
        <v>79</v>
      </c>
      <c r="C33" s="19">
        <v>3</v>
      </c>
      <c r="G33" s="14" t="s">
        <v>80</v>
      </c>
      <c r="H33" s="15">
        <f>SUM(H34:H37)</f>
        <v>2744.5569999999998</v>
      </c>
      <c r="I33" s="15">
        <f t="shared" ref="I33:R33" si="8">SUM(I34:I37)</f>
        <v>4631.8419999999996</v>
      </c>
      <c r="J33" s="15">
        <f t="shared" si="8"/>
        <v>4927.9480000000003</v>
      </c>
      <c r="K33" s="15">
        <f t="shared" si="8"/>
        <v>2066.8849999999998</v>
      </c>
      <c r="L33" s="15">
        <f t="shared" si="8"/>
        <v>3182.5209999999997</v>
      </c>
      <c r="M33" s="15">
        <f t="shared" si="8"/>
        <v>3341</v>
      </c>
      <c r="N33" s="15">
        <f t="shared" si="8"/>
        <v>4608</v>
      </c>
      <c r="O33" s="15">
        <f t="shared" si="8"/>
        <v>7063</v>
      </c>
      <c r="P33" s="15">
        <f t="shared" si="8"/>
        <v>7883</v>
      </c>
      <c r="Q33" s="15">
        <f t="shared" si="8"/>
        <v>7032</v>
      </c>
      <c r="R33" s="15">
        <f t="shared" si="8"/>
        <v>7407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21">
        <v>1054.146</v>
      </c>
      <c r="I35" s="21">
        <v>538.35</v>
      </c>
      <c r="J35" s="21">
        <v>871.60599999999999</v>
      </c>
      <c r="K35" s="21">
        <v>1121.5450000000001</v>
      </c>
      <c r="L35" s="21">
        <v>1236.9000000000001</v>
      </c>
      <c r="M35" s="21">
        <v>1193</v>
      </c>
      <c r="N35" s="21">
        <v>1300</v>
      </c>
      <c r="O35" s="21">
        <v>1422</v>
      </c>
      <c r="P35" s="21">
        <v>1600</v>
      </c>
      <c r="Q35" s="21">
        <v>1752</v>
      </c>
      <c r="R35" s="21">
        <v>2095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21">
        <v>1677.6289999999999</v>
      </c>
      <c r="I36" s="21">
        <v>4091.9090000000001</v>
      </c>
      <c r="J36" s="21">
        <v>4055.3290000000002</v>
      </c>
      <c r="K36" s="21">
        <v>943.21600000000001</v>
      </c>
      <c r="L36" s="21">
        <v>1899.0989999999999</v>
      </c>
      <c r="M36" s="21">
        <v>2146</v>
      </c>
      <c r="N36" s="21">
        <v>3275</v>
      </c>
      <c r="O36" s="21">
        <v>5641</v>
      </c>
      <c r="P36" s="21">
        <v>6283</v>
      </c>
      <c r="Q36" s="21">
        <v>5280</v>
      </c>
      <c r="R36" s="21">
        <v>5312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21">
        <v>12.782</v>
      </c>
      <c r="I37" s="21">
        <v>1.583</v>
      </c>
      <c r="J37" s="21">
        <v>1.0129999999999999</v>
      </c>
      <c r="K37" s="21">
        <v>2.1240000000000001</v>
      </c>
      <c r="L37" s="21">
        <v>46.521999999999998</v>
      </c>
      <c r="M37" s="21">
        <v>2</v>
      </c>
      <c r="N37" s="21">
        <v>33</v>
      </c>
      <c r="O37" s="21">
        <v>0</v>
      </c>
      <c r="P37" s="21">
        <v>0</v>
      </c>
      <c r="Q37" s="21">
        <v>0</v>
      </c>
      <c r="R37" s="21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15">
        <f>H39+H40</f>
        <v>-65.629000000000005</v>
      </c>
      <c r="I38" s="15">
        <f t="shared" ref="I38:R38" si="9">I39+I40</f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9"/>
        <v>0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21">
        <v>-65.629000000000005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15">
        <f>SUM(H42:H45)</f>
        <v>-3285.7210000000005</v>
      </c>
      <c r="I41" s="15">
        <f t="shared" ref="I41:R41" si="10">SUM(I42:I45)</f>
        <v>-2589.6709999999998</v>
      </c>
      <c r="J41" s="15">
        <f t="shared" si="10"/>
        <v>-3079.4670000000001</v>
      </c>
      <c r="K41" s="15">
        <f t="shared" si="10"/>
        <v>-3541.3540000000003</v>
      </c>
      <c r="L41" s="15">
        <f t="shared" si="10"/>
        <v>-3735.277</v>
      </c>
      <c r="M41" s="15">
        <f t="shared" si="10"/>
        <v>-3778</v>
      </c>
      <c r="N41" s="15">
        <f>SUM(N42:N45)</f>
        <v>-3731</v>
      </c>
      <c r="O41" s="15">
        <f t="shared" si="10"/>
        <v>-3870</v>
      </c>
      <c r="P41" s="15">
        <f t="shared" si="10"/>
        <v>-4098</v>
      </c>
      <c r="Q41" s="15">
        <f t="shared" si="10"/>
        <v>-4277</v>
      </c>
      <c r="R41" s="15">
        <f t="shared" si="10"/>
        <v>-4546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21">
        <v>-489.69499999999999</v>
      </c>
      <c r="I42" s="21">
        <v>-580.89599999999996</v>
      </c>
      <c r="J42" s="21">
        <v>-720.947</v>
      </c>
      <c r="K42" s="21">
        <v>-932.82100000000003</v>
      </c>
      <c r="L42" s="21">
        <v>-1061.462</v>
      </c>
      <c r="M42" s="21">
        <v>-1066</v>
      </c>
      <c r="N42" s="21">
        <v>-1133</v>
      </c>
      <c r="O42" s="21">
        <v>-1156</v>
      </c>
      <c r="P42" s="21">
        <v>-1179</v>
      </c>
      <c r="Q42" s="21">
        <v>-1203</v>
      </c>
      <c r="R42" s="21">
        <v>-1227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21">
        <v>-1569.924</v>
      </c>
      <c r="I43" s="21">
        <v>-613.61400000000003</v>
      </c>
      <c r="J43" s="21">
        <v>-874.09</v>
      </c>
      <c r="K43" s="21">
        <v>-941.28300000000002</v>
      </c>
      <c r="L43" s="21">
        <v>-1058.6320000000001</v>
      </c>
      <c r="M43" s="21">
        <v>-1105</v>
      </c>
      <c r="N43" s="21">
        <v>-1028</v>
      </c>
      <c r="O43" s="21">
        <v>-1106</v>
      </c>
      <c r="P43" s="21">
        <v>-1274</v>
      </c>
      <c r="Q43" s="21">
        <v>-1428</v>
      </c>
      <c r="R43" s="21">
        <v>-1757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21">
        <v>-4.2750000000000004</v>
      </c>
      <c r="I44" s="21">
        <v>-95.254000000000005</v>
      </c>
      <c r="J44" s="21">
        <v>-8.218</v>
      </c>
      <c r="K44" s="21">
        <v>-2.42</v>
      </c>
      <c r="L44" s="21">
        <v>-2.4369999999999998</v>
      </c>
      <c r="M44" s="21">
        <v>0</v>
      </c>
      <c r="N44" s="21">
        <v>-2</v>
      </c>
      <c r="O44" s="21">
        <v>-2</v>
      </c>
      <c r="P44" s="21">
        <v>-3</v>
      </c>
      <c r="Q44" s="21">
        <v>-3</v>
      </c>
      <c r="R44" s="21">
        <v>-3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21">
        <v>-1221.827</v>
      </c>
      <c r="I45" s="21">
        <v>-1299.9069999999999</v>
      </c>
      <c r="J45" s="21">
        <v>-1476.212</v>
      </c>
      <c r="K45" s="21">
        <v>-1664.83</v>
      </c>
      <c r="L45" s="21">
        <v>-1612.7460000000001</v>
      </c>
      <c r="M45" s="21">
        <v>-1607</v>
      </c>
      <c r="N45" s="21">
        <v>-1568</v>
      </c>
      <c r="O45" s="21">
        <v>-1606</v>
      </c>
      <c r="P45" s="21">
        <v>-1642</v>
      </c>
      <c r="Q45" s="21">
        <v>-1643</v>
      </c>
      <c r="R45" s="21">
        <v>-1559</v>
      </c>
    </row>
    <row r="46" spans="1:18" x14ac:dyDescent="0.2">
      <c r="B46" s="2" t="s">
        <v>107</v>
      </c>
      <c r="G46" s="18" t="s">
        <v>108</v>
      </c>
      <c r="H46" s="15">
        <f>H33+H38+H41</f>
        <v>-606.79300000000057</v>
      </c>
      <c r="I46" s="15">
        <f t="shared" ref="I46:R46" si="11">I33+I38+I41</f>
        <v>2042.1709999999998</v>
      </c>
      <c r="J46" s="15">
        <f t="shared" si="11"/>
        <v>1848.4810000000002</v>
      </c>
      <c r="K46" s="15">
        <f t="shared" si="11"/>
        <v>-1474.4690000000005</v>
      </c>
      <c r="L46" s="15">
        <f t="shared" si="11"/>
        <v>-552.75600000000031</v>
      </c>
      <c r="M46" s="15">
        <f t="shared" si="11"/>
        <v>-437</v>
      </c>
      <c r="N46" s="15">
        <f t="shared" si="11"/>
        <v>877</v>
      </c>
      <c r="O46" s="15">
        <f t="shared" si="11"/>
        <v>3193</v>
      </c>
      <c r="P46" s="15">
        <f t="shared" si="11"/>
        <v>3785</v>
      </c>
      <c r="Q46" s="15">
        <f t="shared" si="11"/>
        <v>2755</v>
      </c>
      <c r="R46" s="15">
        <f t="shared" si="11"/>
        <v>2861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21">
        <v>-33.771999999999998</v>
      </c>
      <c r="I47" s="21">
        <v>-17.102</v>
      </c>
      <c r="J47" s="21">
        <v>-13.521000000000001</v>
      </c>
      <c r="K47" s="21">
        <v>-13.802</v>
      </c>
      <c r="L47" s="21">
        <v>-2.6070000000000002</v>
      </c>
      <c r="M47" s="21">
        <v>0</v>
      </c>
      <c r="N47" s="21">
        <v>-3</v>
      </c>
      <c r="O47" s="21">
        <v>-1</v>
      </c>
      <c r="P47" s="21">
        <v>-1</v>
      </c>
      <c r="Q47" s="21">
        <v>0</v>
      </c>
      <c r="R47" s="21">
        <v>0</v>
      </c>
    </row>
    <row r="48" spans="1:18" x14ac:dyDescent="0.2">
      <c r="B48" s="2" t="s">
        <v>111</v>
      </c>
      <c r="G48" s="18" t="s">
        <v>112</v>
      </c>
      <c r="H48" s="15">
        <f>H46+H47</f>
        <v>-640.56500000000062</v>
      </c>
      <c r="I48" s="15">
        <f t="shared" ref="I48:R48" si="12">I46+I47</f>
        <v>2025.0689999999997</v>
      </c>
      <c r="J48" s="15">
        <f t="shared" si="12"/>
        <v>1834.9600000000003</v>
      </c>
      <c r="K48" s="15">
        <f t="shared" si="12"/>
        <v>-1488.2710000000004</v>
      </c>
      <c r="L48" s="15">
        <f t="shared" si="12"/>
        <v>-555.36300000000028</v>
      </c>
      <c r="M48" s="15">
        <f t="shared" si="12"/>
        <v>-437</v>
      </c>
      <c r="N48" s="15">
        <f>N46+N47</f>
        <v>874</v>
      </c>
      <c r="O48" s="15">
        <f t="shared" si="12"/>
        <v>3192</v>
      </c>
      <c r="P48" s="15">
        <f t="shared" si="12"/>
        <v>3784</v>
      </c>
      <c r="Q48" s="15">
        <f t="shared" si="12"/>
        <v>2755</v>
      </c>
      <c r="R48" s="15">
        <f t="shared" si="12"/>
        <v>2861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x14ac:dyDescent="0.2">
      <c r="B51" s="2" t="s">
        <v>117</v>
      </c>
      <c r="G51" s="18" t="s">
        <v>118</v>
      </c>
      <c r="H51" s="15">
        <f>H48+H49+H50</f>
        <v>-640.56500000000062</v>
      </c>
      <c r="I51" s="15">
        <f t="shared" ref="I51:R51" si="13">I48+I49+I50</f>
        <v>2025.0689999999997</v>
      </c>
      <c r="J51" s="15">
        <f t="shared" si="13"/>
        <v>1834.9600000000003</v>
      </c>
      <c r="K51" s="15">
        <f t="shared" si="13"/>
        <v>-1488.2710000000004</v>
      </c>
      <c r="L51" s="15">
        <f t="shared" si="13"/>
        <v>-555.36300000000028</v>
      </c>
      <c r="M51" s="15">
        <f t="shared" si="13"/>
        <v>-437</v>
      </c>
      <c r="N51" s="15">
        <f t="shared" si="13"/>
        <v>874</v>
      </c>
      <c r="O51" s="15">
        <f t="shared" si="13"/>
        <v>3192</v>
      </c>
      <c r="P51" s="15">
        <f t="shared" si="13"/>
        <v>3784</v>
      </c>
      <c r="Q51" s="15">
        <f t="shared" si="13"/>
        <v>2755</v>
      </c>
      <c r="R51" s="15">
        <f t="shared" si="13"/>
        <v>2861</v>
      </c>
    </row>
    <row r="52" spans="1:18" x14ac:dyDescent="0.2">
      <c r="A52" s="43"/>
      <c r="C52" s="44"/>
      <c r="D52" s="44"/>
      <c r="E52" s="45"/>
      <c r="F52" s="43"/>
      <c r="G52" s="38" t="s">
        <v>119</v>
      </c>
      <c r="H52" s="39">
        <f>H30-H51</f>
        <v>0</v>
      </c>
      <c r="I52" s="39">
        <f t="shared" ref="I52:R52" si="14">I30-I51</f>
        <v>0</v>
      </c>
      <c r="J52" s="39">
        <f t="shared" si="14"/>
        <v>0</v>
      </c>
      <c r="K52" s="39">
        <f t="shared" si="14"/>
        <v>3.0000000003838068E-3</v>
      </c>
      <c r="L52" s="39">
        <f t="shared" si="14"/>
        <v>0</v>
      </c>
      <c r="M52" s="39">
        <f t="shared" si="14"/>
        <v>0</v>
      </c>
      <c r="N52" s="39">
        <f t="shared" si="14"/>
        <v>0</v>
      </c>
      <c r="O52" s="39">
        <f t="shared" si="14"/>
        <v>0</v>
      </c>
      <c r="P52" s="39">
        <f t="shared" si="14"/>
        <v>0</v>
      </c>
      <c r="Q52" s="39">
        <f t="shared" si="14"/>
        <v>0</v>
      </c>
      <c r="R52" s="39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21">
        <v>37</v>
      </c>
      <c r="I54" s="21">
        <v>41</v>
      </c>
      <c r="J54" s="21">
        <v>51</v>
      </c>
      <c r="K54" s="21">
        <v>72</v>
      </c>
      <c r="L54" s="21">
        <v>75</v>
      </c>
      <c r="M54" s="21">
        <v>75</v>
      </c>
      <c r="N54" s="21">
        <v>76</v>
      </c>
      <c r="O54" s="21">
        <v>76</v>
      </c>
      <c r="P54" s="21">
        <v>77</v>
      </c>
      <c r="Q54" s="21">
        <v>78</v>
      </c>
      <c r="R54" s="21">
        <v>80</v>
      </c>
    </row>
    <row r="55" spans="1:18" ht="12" x14ac:dyDescent="0.2">
      <c r="E55" s="20" t="s">
        <v>14</v>
      </c>
      <c r="G55" s="46" t="s">
        <v>122</v>
      </c>
      <c r="H55" s="21"/>
      <c r="I55" s="21"/>
      <c r="J55" s="21"/>
      <c r="K55" s="21"/>
      <c r="L55" s="47"/>
      <c r="M55" s="47"/>
      <c r="N55" s="47"/>
      <c r="O55" s="47"/>
      <c r="P55" s="47"/>
      <c r="Q55" s="47"/>
      <c r="R55" s="47"/>
    </row>
    <row r="57" spans="1:18" x14ac:dyDescent="0.2">
      <c r="D57" s="49" t="s">
        <v>123</v>
      </c>
      <c r="E57" s="50" t="s">
        <v>3</v>
      </c>
      <c r="F57" s="17"/>
      <c r="G57" s="11" t="s">
        <v>124</v>
      </c>
      <c r="H57" s="41">
        <f>H32</f>
        <v>2011</v>
      </c>
      <c r="I57" s="41">
        <f t="shared" ref="I57:R57" si="15">I32</f>
        <v>2012</v>
      </c>
      <c r="J57" s="41">
        <f t="shared" si="15"/>
        <v>2013</v>
      </c>
      <c r="K57" s="41">
        <f t="shared" si="15"/>
        <v>2014</v>
      </c>
      <c r="L57" s="41">
        <f t="shared" si="15"/>
        <v>2015</v>
      </c>
      <c r="M57" s="41">
        <f t="shared" si="15"/>
        <v>2016</v>
      </c>
      <c r="N57" s="41">
        <f t="shared" si="15"/>
        <v>2017</v>
      </c>
      <c r="O57" s="41">
        <f t="shared" si="15"/>
        <v>2018</v>
      </c>
      <c r="P57" s="41">
        <f t="shared" si="15"/>
        <v>2019</v>
      </c>
      <c r="Q57" s="41">
        <f t="shared" si="15"/>
        <v>2020</v>
      </c>
      <c r="R57" s="41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14" t="s">
        <v>128</v>
      </c>
      <c r="H58" s="21">
        <v>-1878.866</v>
      </c>
      <c r="I58" s="21">
        <v>-870.60799999999995</v>
      </c>
      <c r="J58" s="21">
        <v>-1989.4570000000001</v>
      </c>
      <c r="K58" s="21">
        <v>-2098.404</v>
      </c>
      <c r="L58" s="21">
        <v>-973.98800000000006</v>
      </c>
      <c r="M58" s="21">
        <v>-1156</v>
      </c>
      <c r="N58" s="21">
        <v>-2418</v>
      </c>
      <c r="O58" s="21">
        <v>-4762</v>
      </c>
      <c r="P58" s="21">
        <v>-5369</v>
      </c>
      <c r="Q58" s="21">
        <v>-4341</v>
      </c>
      <c r="R58" s="21">
        <v>-4362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21">
        <v>12.782</v>
      </c>
      <c r="I59" s="21">
        <v>1.583</v>
      </c>
      <c r="J59" s="21">
        <v>0</v>
      </c>
      <c r="K59" s="21">
        <v>0</v>
      </c>
      <c r="L59" s="21">
        <v>49</v>
      </c>
      <c r="M59" s="21">
        <v>0</v>
      </c>
      <c r="N59" s="21">
        <v>33</v>
      </c>
      <c r="O59" s="21">
        <v>0</v>
      </c>
      <c r="P59" s="21">
        <v>0</v>
      </c>
      <c r="Q59" s="21">
        <v>0</v>
      </c>
      <c r="R59" s="21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21">
        <v>1877.838</v>
      </c>
      <c r="I60" s="21">
        <v>1726.829</v>
      </c>
      <c r="J60" s="21">
        <v>1765.1369999999999</v>
      </c>
      <c r="K60" s="21">
        <v>1747.751</v>
      </c>
      <c r="L60" s="21">
        <v>1674.9580000000001</v>
      </c>
      <c r="M60" s="21">
        <v>1784</v>
      </c>
      <c r="N60" s="21">
        <v>2430</v>
      </c>
      <c r="O60" s="21">
        <v>4762</v>
      </c>
      <c r="P60" s="21">
        <v>5369</v>
      </c>
      <c r="Q60" s="21">
        <v>4341</v>
      </c>
      <c r="R60" s="21">
        <v>4362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21">
        <v>0.48399999999999999</v>
      </c>
      <c r="I70" s="21">
        <v>0.05</v>
      </c>
      <c r="J70" s="21">
        <v>0.09</v>
      </c>
      <c r="K70" s="21">
        <v>0.02</v>
      </c>
      <c r="L70" s="21">
        <v>0.39600000000000002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</row>
    <row r="71" spans="2:18" x14ac:dyDescent="0.2">
      <c r="B71" s="51" t="s">
        <v>162</v>
      </c>
      <c r="D71" s="16"/>
      <c r="E71" s="22"/>
      <c r="F71" s="22"/>
      <c r="G71" s="57" t="s">
        <v>163</v>
      </c>
      <c r="H71" s="15">
        <f t="shared" ref="H71:R71" si="16">SUM(H58:H70)</f>
        <v>12.237999999999905</v>
      </c>
      <c r="I71" s="15">
        <f t="shared" si="16"/>
        <v>857.85399999999993</v>
      </c>
      <c r="J71" s="15">
        <f t="shared" si="16"/>
        <v>-224.23000000000016</v>
      </c>
      <c r="K71" s="15">
        <f t="shared" si="16"/>
        <v>-350.63300000000004</v>
      </c>
      <c r="L71" s="15">
        <f t="shared" si="16"/>
        <v>750.36599999999999</v>
      </c>
      <c r="M71" s="15">
        <f t="shared" si="16"/>
        <v>628</v>
      </c>
      <c r="N71" s="15">
        <f t="shared" si="16"/>
        <v>45</v>
      </c>
      <c r="O71" s="15">
        <f t="shared" si="16"/>
        <v>0</v>
      </c>
      <c r="P71" s="15">
        <f t="shared" si="16"/>
        <v>0</v>
      </c>
      <c r="Q71" s="15">
        <f t="shared" si="16"/>
        <v>0</v>
      </c>
      <c r="R71" s="15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11" t="s">
        <v>164</v>
      </c>
      <c r="H73" s="41">
        <f t="shared" ref="H73:R73" si="17">H57</f>
        <v>2011</v>
      </c>
      <c r="I73" s="41">
        <f t="shared" si="17"/>
        <v>2012</v>
      </c>
      <c r="J73" s="41">
        <f t="shared" si="17"/>
        <v>2013</v>
      </c>
      <c r="K73" s="41">
        <f t="shared" si="17"/>
        <v>2014</v>
      </c>
      <c r="L73" s="41">
        <f t="shared" si="17"/>
        <v>2015</v>
      </c>
      <c r="M73" s="41">
        <f t="shared" si="17"/>
        <v>2016</v>
      </c>
      <c r="N73" s="41">
        <f t="shared" si="17"/>
        <v>2017</v>
      </c>
      <c r="O73" s="41">
        <f t="shared" si="17"/>
        <v>2018</v>
      </c>
      <c r="P73" s="41">
        <f t="shared" si="17"/>
        <v>2019</v>
      </c>
      <c r="Q73" s="41">
        <f t="shared" si="17"/>
        <v>2020</v>
      </c>
      <c r="R73" s="41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14" t="s">
        <v>167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21">
        <f>793.03+144.719</f>
        <v>937.74900000000002</v>
      </c>
      <c r="I76" s="21">
        <v>220.071</v>
      </c>
      <c r="J76" s="21">
        <v>660</v>
      </c>
      <c r="K76" s="21">
        <v>585.13</v>
      </c>
      <c r="L76" s="21">
        <v>0</v>
      </c>
      <c r="M76" s="21">
        <v>0</v>
      </c>
      <c r="N76" s="21">
        <v>148</v>
      </c>
      <c r="O76" s="21">
        <v>0</v>
      </c>
      <c r="P76" s="21">
        <v>0</v>
      </c>
      <c r="Q76" s="21">
        <v>0</v>
      </c>
      <c r="R76" s="21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21">
        <v>-751.38300000000004</v>
      </c>
      <c r="I77" s="21">
        <v>-793.03</v>
      </c>
      <c r="J77" s="21">
        <v>-364.79700000000003</v>
      </c>
      <c r="K77" s="21">
        <v>-660</v>
      </c>
      <c r="L77" s="21">
        <v>-585.13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21">
        <v>-575.76099999999997</v>
      </c>
      <c r="I78" s="21">
        <v>-80.888000000000005</v>
      </c>
      <c r="J78" s="21">
        <v>-79.200999999999993</v>
      </c>
      <c r="K78" s="21">
        <v>-79.004000000000005</v>
      </c>
      <c r="L78" s="21">
        <v>-78.403999999999996</v>
      </c>
      <c r="M78" s="21">
        <v>-68</v>
      </c>
      <c r="N78" s="21">
        <v>-39</v>
      </c>
      <c r="O78" s="21">
        <v>-36</v>
      </c>
      <c r="P78" s="21">
        <v>-22</v>
      </c>
      <c r="Q78" s="21">
        <v>-22</v>
      </c>
      <c r="R78" s="21">
        <v>-23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21">
        <v>-33.850999999999999</v>
      </c>
      <c r="I79" s="21">
        <v>-16.998999999999999</v>
      </c>
      <c r="J79" s="21">
        <v>-13.744</v>
      </c>
      <c r="K79" s="21">
        <f>-13.782-0.034</f>
        <v>-13.816000000000001</v>
      </c>
      <c r="L79" s="21">
        <f>-3.777+0.013</f>
        <v>-3.7640000000000002</v>
      </c>
      <c r="M79" s="21">
        <v>-3</v>
      </c>
      <c r="N79" s="21">
        <v>-3</v>
      </c>
      <c r="O79" s="21">
        <v>-2</v>
      </c>
      <c r="P79" s="21">
        <v>-2</v>
      </c>
      <c r="Q79" s="21">
        <v>-1</v>
      </c>
      <c r="R79" s="21">
        <v>-1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59" t="s">
        <v>114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</row>
    <row r="85" spans="1:18" x14ac:dyDescent="0.2">
      <c r="B85" s="2" t="s">
        <v>192</v>
      </c>
      <c r="G85" s="59" t="s">
        <v>163</v>
      </c>
      <c r="H85" s="15">
        <f t="shared" ref="H85:Q85" si="18">SUM(H74:H84)</f>
        <v>-423.24599999999998</v>
      </c>
      <c r="I85" s="15">
        <f t="shared" si="18"/>
        <v>-670.846</v>
      </c>
      <c r="J85" s="15">
        <f t="shared" si="18"/>
        <v>202.25799999999998</v>
      </c>
      <c r="K85" s="15">
        <f t="shared" si="18"/>
        <v>-167.69000000000003</v>
      </c>
      <c r="L85" s="15">
        <f t="shared" si="18"/>
        <v>-667.298</v>
      </c>
      <c r="M85" s="15">
        <f t="shared" si="18"/>
        <v>-71</v>
      </c>
      <c r="N85" s="15">
        <f t="shared" si="18"/>
        <v>106</v>
      </c>
      <c r="O85" s="15">
        <f t="shared" si="18"/>
        <v>-38</v>
      </c>
      <c r="P85" s="15">
        <f t="shared" si="18"/>
        <v>-24</v>
      </c>
      <c r="Q85" s="15">
        <f t="shared" si="18"/>
        <v>-23</v>
      </c>
      <c r="R85" s="15">
        <f>SUM(R74:R84)</f>
        <v>-24</v>
      </c>
    </row>
    <row r="87" spans="1:18" x14ac:dyDescent="0.2">
      <c r="A87" s="23" t="s">
        <v>0</v>
      </c>
      <c r="D87" s="1279" t="s">
        <v>193</v>
      </c>
      <c r="E87" s="1280"/>
      <c r="G87" s="11" t="s">
        <v>194</v>
      </c>
      <c r="H87" s="41">
        <f t="shared" ref="H87:R87" si="19">H32</f>
        <v>2011</v>
      </c>
      <c r="I87" s="41">
        <f t="shared" si="19"/>
        <v>2012</v>
      </c>
      <c r="J87" s="41">
        <f t="shared" si="19"/>
        <v>2013</v>
      </c>
      <c r="K87" s="41">
        <f t="shared" si="19"/>
        <v>2014</v>
      </c>
      <c r="L87" s="41">
        <f t="shared" si="19"/>
        <v>2015</v>
      </c>
      <c r="M87" s="41">
        <f t="shared" si="19"/>
        <v>2016</v>
      </c>
      <c r="N87" s="41">
        <f t="shared" si="19"/>
        <v>2017</v>
      </c>
      <c r="O87" s="41">
        <f t="shared" si="19"/>
        <v>2018</v>
      </c>
      <c r="P87" s="41">
        <f t="shared" si="19"/>
        <v>2019</v>
      </c>
      <c r="Q87" s="41">
        <f t="shared" si="19"/>
        <v>2020</v>
      </c>
      <c r="R87" s="41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60"/>
      <c r="G88" s="14" t="s">
        <v>198</v>
      </c>
      <c r="H88" s="15">
        <f>H46+H71</f>
        <v>-594.55500000000063</v>
      </c>
      <c r="I88" s="15">
        <f t="shared" ref="I88:R88" si="20">I46+I71</f>
        <v>2900.0249999999996</v>
      </c>
      <c r="J88" s="15">
        <f t="shared" si="20"/>
        <v>1624.251</v>
      </c>
      <c r="K88" s="15">
        <f t="shared" si="20"/>
        <v>-1825.1020000000005</v>
      </c>
      <c r="L88" s="15">
        <f t="shared" si="20"/>
        <v>197.60999999999967</v>
      </c>
      <c r="M88" s="15">
        <f t="shared" si="20"/>
        <v>191</v>
      </c>
      <c r="N88" s="15">
        <f t="shared" si="20"/>
        <v>922</v>
      </c>
      <c r="O88" s="15">
        <f t="shared" si="20"/>
        <v>3193</v>
      </c>
      <c r="P88" s="15">
        <f t="shared" si="20"/>
        <v>3785</v>
      </c>
      <c r="Q88" s="15">
        <f t="shared" si="20"/>
        <v>2755</v>
      </c>
      <c r="R88" s="15">
        <f t="shared" si="20"/>
        <v>2861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60"/>
      <c r="G89" s="14" t="s">
        <v>202</v>
      </c>
      <c r="H89" s="61">
        <f t="shared" ref="H89:R89" si="21">H33+H38+H41-H45</f>
        <v>615.03399999999942</v>
      </c>
      <c r="I89" s="15">
        <f t="shared" si="21"/>
        <v>3342.0779999999995</v>
      </c>
      <c r="J89" s="15">
        <f t="shared" si="21"/>
        <v>3324.6930000000002</v>
      </c>
      <c r="K89" s="15">
        <f t="shared" si="21"/>
        <v>190.36099999999942</v>
      </c>
      <c r="L89" s="15">
        <f t="shared" si="21"/>
        <v>1059.9899999999998</v>
      </c>
      <c r="M89" s="15">
        <f t="shared" si="21"/>
        <v>1170</v>
      </c>
      <c r="N89" s="15">
        <f t="shared" si="21"/>
        <v>2445</v>
      </c>
      <c r="O89" s="15">
        <f t="shared" si="21"/>
        <v>4799</v>
      </c>
      <c r="P89" s="15">
        <f t="shared" si="21"/>
        <v>5427</v>
      </c>
      <c r="Q89" s="15">
        <f t="shared" si="21"/>
        <v>4398</v>
      </c>
      <c r="R89" s="15">
        <f t="shared" si="21"/>
        <v>4420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62">
        <v>0</v>
      </c>
      <c r="G90" s="59" t="s">
        <v>206</v>
      </c>
      <c r="H90" s="63">
        <f t="shared" ref="H90:R90" si="22">H89/H33</f>
        <v>0.22409226698516355</v>
      </c>
      <c r="I90" s="64">
        <f t="shared" si="22"/>
        <v>0.72154404230541536</v>
      </c>
      <c r="J90" s="64">
        <f t="shared" si="22"/>
        <v>0.67466073099797319</v>
      </c>
      <c r="K90" s="64">
        <f t="shared" si="22"/>
        <v>9.2100431325400037E-2</v>
      </c>
      <c r="L90" s="64">
        <f t="shared" si="22"/>
        <v>0.33306614473243062</v>
      </c>
      <c r="M90" s="64">
        <f t="shared" si="22"/>
        <v>0.35019455252918286</v>
      </c>
      <c r="N90" s="64">
        <f t="shared" si="22"/>
        <v>0.53059895833333337</v>
      </c>
      <c r="O90" s="64">
        <f t="shared" si="22"/>
        <v>0.67945632167634151</v>
      </c>
      <c r="P90" s="64">
        <f t="shared" si="22"/>
        <v>0.68844348598249394</v>
      </c>
      <c r="Q90" s="64">
        <f t="shared" si="22"/>
        <v>0.62542662116040959</v>
      </c>
      <c r="R90" s="64">
        <f t="shared" si="22"/>
        <v>0.59673282030511676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60"/>
      <c r="G91" s="18" t="s">
        <v>210</v>
      </c>
      <c r="H91" s="65">
        <f t="shared" ref="H91:R91" si="23">-H33/(H38+H41)</f>
        <v>0.81894072537932461</v>
      </c>
      <c r="I91" s="65">
        <f t="shared" si="23"/>
        <v>1.7885831829603065</v>
      </c>
      <c r="J91" s="65">
        <f t="shared" si="23"/>
        <v>1.600260045001294</v>
      </c>
      <c r="K91" s="65">
        <f t="shared" si="23"/>
        <v>0.58364258416413595</v>
      </c>
      <c r="L91" s="65">
        <f t="shared" si="23"/>
        <v>0.85201740058367814</v>
      </c>
      <c r="M91" s="65">
        <f t="shared" si="23"/>
        <v>0.88433033350979351</v>
      </c>
      <c r="N91" s="65">
        <f t="shared" si="23"/>
        <v>1.2350576253015277</v>
      </c>
      <c r="O91" s="65">
        <f t="shared" si="23"/>
        <v>1.8250645994832042</v>
      </c>
      <c r="P91" s="65">
        <f t="shared" si="23"/>
        <v>1.9236212786725231</v>
      </c>
      <c r="Q91" s="65">
        <f t="shared" si="23"/>
        <v>1.6441430909516015</v>
      </c>
      <c r="R91" s="65">
        <f t="shared" si="23"/>
        <v>1.6293444786625606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60"/>
      <c r="G92" s="14" t="s">
        <v>214</v>
      </c>
      <c r="H92" s="61">
        <f>H46</f>
        <v>-606.79300000000057</v>
      </c>
      <c r="I92" s="61">
        <f t="shared" ref="I92:R92" si="24">I46</f>
        <v>2042.1709999999998</v>
      </c>
      <c r="J92" s="61">
        <f t="shared" si="24"/>
        <v>1848.4810000000002</v>
      </c>
      <c r="K92" s="61">
        <f t="shared" si="24"/>
        <v>-1474.4690000000005</v>
      </c>
      <c r="L92" s="61">
        <f t="shared" si="24"/>
        <v>-552.75600000000031</v>
      </c>
      <c r="M92" s="61">
        <f t="shared" si="24"/>
        <v>-437</v>
      </c>
      <c r="N92" s="61">
        <f t="shared" si="24"/>
        <v>877</v>
      </c>
      <c r="O92" s="61">
        <f t="shared" si="24"/>
        <v>3193</v>
      </c>
      <c r="P92" s="61">
        <f t="shared" si="24"/>
        <v>3785</v>
      </c>
      <c r="Q92" s="61">
        <f t="shared" si="24"/>
        <v>2755</v>
      </c>
      <c r="R92" s="61">
        <f t="shared" si="24"/>
        <v>2861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62">
        <v>-0.3</v>
      </c>
      <c r="E93" s="62">
        <v>0</v>
      </c>
      <c r="G93" s="18" t="s">
        <v>218</v>
      </c>
      <c r="H93" s="66">
        <f>H46/H33</f>
        <v>-0.22108959660885186</v>
      </c>
      <c r="I93" s="67">
        <f t="shared" ref="I93:R93" si="25">I46/I33</f>
        <v>0.44089824307478537</v>
      </c>
      <c r="J93" s="67">
        <f t="shared" si="25"/>
        <v>0.37510156357169355</v>
      </c>
      <c r="K93" s="67">
        <f t="shared" si="25"/>
        <v>-0.71337737706742299</v>
      </c>
      <c r="L93" s="67">
        <f t="shared" si="25"/>
        <v>-0.17368494976152565</v>
      </c>
      <c r="M93" s="67">
        <f t="shared" si="25"/>
        <v>-0.1307991619275666</v>
      </c>
      <c r="N93" s="67">
        <f t="shared" si="25"/>
        <v>0.19032118055555555</v>
      </c>
      <c r="O93" s="67">
        <f t="shared" si="25"/>
        <v>0.45207418943791589</v>
      </c>
      <c r="P93" s="67">
        <f t="shared" si="25"/>
        <v>0.48014715209945452</v>
      </c>
      <c r="Q93" s="67">
        <f t="shared" si="25"/>
        <v>0.39178043230944254</v>
      </c>
      <c r="R93" s="67">
        <f t="shared" si="25"/>
        <v>0.38625624409342513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60"/>
      <c r="G94" s="59" t="s">
        <v>222</v>
      </c>
      <c r="H94" s="61">
        <f>H29+H30</f>
        <v>10589.118999999999</v>
      </c>
      <c r="I94" s="61">
        <f t="shared" ref="I94:R94" si="26">I29+I30</f>
        <v>12614.188</v>
      </c>
      <c r="J94" s="61">
        <f t="shared" si="26"/>
        <v>14449.148000000001</v>
      </c>
      <c r="K94" s="61">
        <f t="shared" si="26"/>
        <v>13150.496999999999</v>
      </c>
      <c r="L94" s="61">
        <f t="shared" si="26"/>
        <v>12595.133</v>
      </c>
      <c r="M94" s="61">
        <f t="shared" si="26"/>
        <v>12158</v>
      </c>
      <c r="N94" s="61">
        <f t="shared" si="26"/>
        <v>13032</v>
      </c>
      <c r="O94" s="61">
        <f t="shared" si="26"/>
        <v>16224</v>
      </c>
      <c r="P94" s="61">
        <f t="shared" si="26"/>
        <v>20008</v>
      </c>
      <c r="Q94" s="61">
        <f t="shared" si="26"/>
        <v>22763</v>
      </c>
      <c r="R94" s="61">
        <f t="shared" si="26"/>
        <v>25624</v>
      </c>
    </row>
    <row r="95" spans="1:18" x14ac:dyDescent="0.2">
      <c r="G95" s="68" t="s">
        <v>223</v>
      </c>
      <c r="H95" s="41">
        <f t="shared" ref="H95:R95" si="27">H87</f>
        <v>2011</v>
      </c>
      <c r="I95" s="41">
        <f t="shared" si="27"/>
        <v>2012</v>
      </c>
      <c r="J95" s="41">
        <f t="shared" si="27"/>
        <v>2013</v>
      </c>
      <c r="K95" s="41">
        <f t="shared" si="27"/>
        <v>2014</v>
      </c>
      <c r="L95" s="41">
        <f t="shared" si="27"/>
        <v>2015</v>
      </c>
      <c r="M95" s="41">
        <f t="shared" si="27"/>
        <v>2016</v>
      </c>
      <c r="N95" s="41">
        <f t="shared" si="27"/>
        <v>2017</v>
      </c>
      <c r="O95" s="41">
        <f t="shared" si="27"/>
        <v>2018</v>
      </c>
      <c r="P95" s="41">
        <f t="shared" si="27"/>
        <v>2019</v>
      </c>
      <c r="Q95" s="41">
        <f t="shared" si="27"/>
        <v>2020</v>
      </c>
      <c r="R95" s="41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60"/>
      <c r="F96" s="69"/>
      <c r="G96" s="14" t="s">
        <v>227</v>
      </c>
      <c r="H96" s="61">
        <f t="shared" ref="H96:R96" si="28">H6+H12</f>
        <v>11.016999999999999</v>
      </c>
      <c r="I96" s="15">
        <f t="shared" si="28"/>
        <v>18.673999999999999</v>
      </c>
      <c r="J96" s="15">
        <f t="shared" si="28"/>
        <v>86.281000000000006</v>
      </c>
      <c r="K96" s="15">
        <f t="shared" si="28"/>
        <v>131.708</v>
      </c>
      <c r="L96" s="15">
        <f t="shared" si="28"/>
        <v>241.791</v>
      </c>
      <c r="M96" s="15">
        <f t="shared" si="28"/>
        <v>1083</v>
      </c>
      <c r="N96" s="15">
        <f t="shared" si="28"/>
        <v>250</v>
      </c>
      <c r="O96" s="15">
        <f t="shared" si="28"/>
        <v>300</v>
      </c>
      <c r="P96" s="15">
        <f t="shared" si="28"/>
        <v>315</v>
      </c>
      <c r="Q96" s="15">
        <f t="shared" si="28"/>
        <v>350</v>
      </c>
      <c r="R96" s="15">
        <f t="shared" si="28"/>
        <v>323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60"/>
      <c r="F97" s="69"/>
      <c r="G97" s="18" t="s">
        <v>230</v>
      </c>
      <c r="H97" s="61">
        <f>H19</f>
        <v>1496.499</v>
      </c>
      <c r="I97" s="61">
        <f t="shared" ref="I97:R97" si="29">I19</f>
        <v>1545.6080000000002</v>
      </c>
      <c r="J97" s="61">
        <f t="shared" si="29"/>
        <v>3026.9259999999999</v>
      </c>
      <c r="K97" s="61">
        <f t="shared" si="29"/>
        <v>949.67100000000005</v>
      </c>
      <c r="L97" s="61">
        <f t="shared" si="29"/>
        <v>355.21</v>
      </c>
      <c r="M97" s="61">
        <f t="shared" si="29"/>
        <v>1151</v>
      </c>
      <c r="N97" s="61">
        <f t="shared" si="29"/>
        <v>400</v>
      </c>
      <c r="O97" s="61">
        <f t="shared" si="29"/>
        <v>436</v>
      </c>
      <c r="P97" s="61">
        <f t="shared" si="29"/>
        <v>364</v>
      </c>
      <c r="Q97" s="61">
        <f t="shared" si="29"/>
        <v>400</v>
      </c>
      <c r="R97" s="61">
        <f t="shared" si="29"/>
        <v>350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60"/>
      <c r="F98" s="69"/>
      <c r="G98" s="18" t="s">
        <v>234</v>
      </c>
      <c r="H98" s="61">
        <f t="shared" ref="H98:R98" si="30">H97-H96</f>
        <v>1485.482</v>
      </c>
      <c r="I98" s="15">
        <f t="shared" si="30"/>
        <v>1526.9340000000002</v>
      </c>
      <c r="J98" s="15">
        <f t="shared" si="30"/>
        <v>2940.645</v>
      </c>
      <c r="K98" s="15">
        <f t="shared" si="30"/>
        <v>817.96300000000008</v>
      </c>
      <c r="L98" s="15">
        <f t="shared" si="30"/>
        <v>113.41899999999998</v>
      </c>
      <c r="M98" s="15">
        <f t="shared" si="30"/>
        <v>68</v>
      </c>
      <c r="N98" s="15">
        <f t="shared" si="30"/>
        <v>150</v>
      </c>
      <c r="O98" s="15">
        <f t="shared" si="30"/>
        <v>136</v>
      </c>
      <c r="P98" s="15">
        <f t="shared" si="30"/>
        <v>49</v>
      </c>
      <c r="Q98" s="15">
        <f t="shared" si="30"/>
        <v>50</v>
      </c>
      <c r="R98" s="15">
        <f t="shared" si="30"/>
        <v>27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62">
        <v>0.4</v>
      </c>
      <c r="F99" s="69"/>
      <c r="G99" s="18" t="s">
        <v>238</v>
      </c>
      <c r="H99" s="70">
        <f t="shared" ref="H99:R99" si="31">H98/H33</f>
        <v>0.54124654725698906</v>
      </c>
      <c r="I99" s="64">
        <f t="shared" si="31"/>
        <v>0.32966020861678796</v>
      </c>
      <c r="J99" s="64">
        <f t="shared" si="31"/>
        <v>0.59672809047498065</v>
      </c>
      <c r="K99" s="64">
        <f t="shared" si="31"/>
        <v>0.39574673965895546</v>
      </c>
      <c r="L99" s="64">
        <f t="shared" si="31"/>
        <v>3.563809948151167E-2</v>
      </c>
      <c r="M99" s="64">
        <f t="shared" si="31"/>
        <v>2.0353187668362766E-2</v>
      </c>
      <c r="N99" s="64">
        <f t="shared" si="31"/>
        <v>3.2552083333333336E-2</v>
      </c>
      <c r="O99" s="64">
        <f t="shared" si="31"/>
        <v>1.925527396290528E-2</v>
      </c>
      <c r="P99" s="64">
        <f t="shared" si="31"/>
        <v>6.2159076493720662E-3</v>
      </c>
      <c r="Q99" s="64">
        <f t="shared" si="31"/>
        <v>7.1103526734926049E-3</v>
      </c>
      <c r="R99" s="64">
        <f t="shared" si="31"/>
        <v>3.6452004860267314E-3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71">
        <v>0</v>
      </c>
      <c r="E100" s="71">
        <v>5</v>
      </c>
      <c r="F100" s="69"/>
      <c r="G100" s="18" t="s">
        <v>242</v>
      </c>
      <c r="H100" s="65">
        <f t="shared" ref="H100:R100" si="32">H98/H89</f>
        <v>2.4152843582631225</v>
      </c>
      <c r="I100" s="65">
        <f t="shared" si="32"/>
        <v>0.45688161676657468</v>
      </c>
      <c r="J100" s="65">
        <f t="shared" si="32"/>
        <v>0.88448617661841256</v>
      </c>
      <c r="K100" s="65">
        <f t="shared" si="32"/>
        <v>4.2969043028771781</v>
      </c>
      <c r="L100" s="65">
        <f t="shared" si="32"/>
        <v>0.10700006603835886</v>
      </c>
      <c r="M100" s="65">
        <f t="shared" si="32"/>
        <v>5.8119658119658121E-2</v>
      </c>
      <c r="N100" s="65">
        <f t="shared" si="32"/>
        <v>6.1349693251533742E-2</v>
      </c>
      <c r="O100" s="65">
        <f t="shared" si="32"/>
        <v>2.8339237341112732E-2</v>
      </c>
      <c r="P100" s="65">
        <f t="shared" si="32"/>
        <v>9.0289294269393777E-3</v>
      </c>
      <c r="Q100" s="65">
        <f t="shared" si="32"/>
        <v>1.1368804001819008E-2</v>
      </c>
      <c r="R100" s="65">
        <f t="shared" si="32"/>
        <v>6.1085972850678733E-3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60"/>
      <c r="F101" s="69"/>
      <c r="G101" s="18" t="s">
        <v>246</v>
      </c>
      <c r="H101" s="61">
        <f t="shared" ref="H101:R101" si="33">-(H75+H77+H78+H79+H80+H81)</f>
        <v>1360.9949999999999</v>
      </c>
      <c r="I101" s="61">
        <f t="shared" si="33"/>
        <v>890.91700000000003</v>
      </c>
      <c r="J101" s="61">
        <f t="shared" si="33"/>
        <v>457.74200000000008</v>
      </c>
      <c r="K101" s="61">
        <f t="shared" si="33"/>
        <v>752.82</v>
      </c>
      <c r="L101" s="61">
        <f t="shared" si="33"/>
        <v>667.298</v>
      </c>
      <c r="M101" s="61">
        <f t="shared" si="33"/>
        <v>71</v>
      </c>
      <c r="N101" s="61">
        <f t="shared" si="33"/>
        <v>42</v>
      </c>
      <c r="O101" s="61">
        <f t="shared" si="33"/>
        <v>38</v>
      </c>
      <c r="P101" s="61">
        <f t="shared" si="33"/>
        <v>24</v>
      </c>
      <c r="Q101" s="61">
        <f t="shared" si="33"/>
        <v>23</v>
      </c>
      <c r="R101" s="61">
        <f t="shared" si="33"/>
        <v>24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71">
        <v>1.2</v>
      </c>
      <c r="F102" s="69"/>
      <c r="G102" s="18" t="s">
        <v>250</v>
      </c>
      <c r="H102" s="72">
        <f t="shared" ref="H102:R102" si="34">H89/H101</f>
        <v>0.4519002641449818</v>
      </c>
      <c r="I102" s="65">
        <f t="shared" si="34"/>
        <v>3.7512787386479318</v>
      </c>
      <c r="J102" s="65">
        <f t="shared" si="34"/>
        <v>7.2632465449969628</v>
      </c>
      <c r="K102" s="65">
        <f t="shared" si="34"/>
        <v>0.25286389840864937</v>
      </c>
      <c r="L102" s="65">
        <f t="shared" si="34"/>
        <v>1.5884807087687955</v>
      </c>
      <c r="M102" s="65">
        <f t="shared" si="34"/>
        <v>16.47887323943662</v>
      </c>
      <c r="N102" s="65">
        <f t="shared" si="34"/>
        <v>58.214285714285715</v>
      </c>
      <c r="O102" s="65">
        <f t="shared" si="34"/>
        <v>126.28947368421052</v>
      </c>
      <c r="P102" s="65">
        <f t="shared" si="34"/>
        <v>226.125</v>
      </c>
      <c r="Q102" s="65">
        <f t="shared" si="34"/>
        <v>191.21739130434781</v>
      </c>
      <c r="R102" s="65">
        <f t="shared" si="34"/>
        <v>184.16666666666666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71">
        <v>0</v>
      </c>
      <c r="F103" s="69"/>
      <c r="G103" s="14" t="s">
        <v>254</v>
      </c>
      <c r="H103" s="61">
        <f t="shared" ref="H103:R103" si="35">H5-H20</f>
        <v>-99.356999999999971</v>
      </c>
      <c r="I103" s="61">
        <f t="shared" si="35"/>
        <v>-59.982999999999947</v>
      </c>
      <c r="J103" s="61">
        <f t="shared" si="35"/>
        <v>-566.62400000000025</v>
      </c>
      <c r="K103" s="61">
        <f t="shared" si="35"/>
        <v>70.388999999999896</v>
      </c>
      <c r="L103" s="61">
        <f t="shared" si="35"/>
        <v>144.71299999999997</v>
      </c>
      <c r="M103" s="61">
        <f t="shared" si="35"/>
        <v>155</v>
      </c>
      <c r="N103" s="61">
        <f t="shared" si="35"/>
        <v>114</v>
      </c>
      <c r="O103" s="61">
        <f t="shared" si="35"/>
        <v>130</v>
      </c>
      <c r="P103" s="61">
        <f t="shared" si="35"/>
        <v>165</v>
      </c>
      <c r="Q103" s="61">
        <f t="shared" si="35"/>
        <v>91</v>
      </c>
      <c r="R103" s="61">
        <f t="shared" si="35"/>
        <v>162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71">
        <v>1</v>
      </c>
      <c r="F104" s="69"/>
      <c r="G104" s="18" t="s">
        <v>258</v>
      </c>
      <c r="H104" s="72">
        <f t="shared" ref="H104:R104" si="36">H5/H20</f>
        <v>0.92016991722681718</v>
      </c>
      <c r="I104" s="72">
        <f t="shared" si="36"/>
        <v>0.95453105196451205</v>
      </c>
      <c r="J104" s="72">
        <f t="shared" si="36"/>
        <v>0.80322344271460955</v>
      </c>
      <c r="K104" s="72">
        <f t="shared" si="36"/>
        <v>1.080806121101844</v>
      </c>
      <c r="L104" s="72">
        <f t="shared" si="36"/>
        <v>1.4202497458980687</v>
      </c>
      <c r="M104" s="72">
        <f t="shared" si="36"/>
        <v>1.1348999129677981</v>
      </c>
      <c r="N104" s="72">
        <f t="shared" si="36"/>
        <v>1.360759493670886</v>
      </c>
      <c r="O104" s="72">
        <f t="shared" si="36"/>
        <v>1.3494623655913978</v>
      </c>
      <c r="P104" s="72">
        <f t="shared" si="36"/>
        <v>1.5124223602484472</v>
      </c>
      <c r="Q104" s="72">
        <f t="shared" si="36"/>
        <v>1.2388451443569555</v>
      </c>
      <c r="R104" s="72">
        <f t="shared" si="36"/>
        <v>1.4709302325581395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71">
        <v>1</v>
      </c>
      <c r="F105" s="69"/>
      <c r="G105" s="59" t="s">
        <v>262</v>
      </c>
      <c r="H105" s="72">
        <f t="shared" ref="H105:R105" si="37">-H6/((H38+H41-H45+H47)/12)</f>
        <v>6.1112330958098635E-2</v>
      </c>
      <c r="I105" s="72">
        <f t="shared" si="37"/>
        <v>0.17146976048041651</v>
      </c>
      <c r="J105" s="72">
        <f t="shared" si="37"/>
        <v>0.6403929796088017</v>
      </c>
      <c r="K105" s="72">
        <f t="shared" si="37"/>
        <v>0.83609705415891211</v>
      </c>
      <c r="L105" s="72">
        <f t="shared" si="37"/>
        <v>1.3653193345561558</v>
      </c>
      <c r="M105" s="72">
        <f t="shared" si="37"/>
        <v>5.9861814831874716</v>
      </c>
      <c r="N105" s="72">
        <f t="shared" si="37"/>
        <v>1.3850415512465375</v>
      </c>
      <c r="O105" s="72">
        <f t="shared" si="37"/>
        <v>1.5894039735099337</v>
      </c>
      <c r="P105" s="72">
        <f t="shared" si="37"/>
        <v>1.5384615384615385</v>
      </c>
      <c r="Q105" s="72">
        <f t="shared" si="37"/>
        <v>1.5945330296127562</v>
      </c>
      <c r="R105" s="72">
        <f t="shared" si="37"/>
        <v>1.2976230331436225</v>
      </c>
    </row>
    <row r="106" spans="1:18" x14ac:dyDescent="0.2">
      <c r="C106" s="16"/>
      <c r="F106" s="69"/>
      <c r="G106" s="68" t="s">
        <v>263</v>
      </c>
      <c r="H106" s="41">
        <f t="shared" ref="H106:R106" si="38">H95</f>
        <v>2011</v>
      </c>
      <c r="I106" s="41">
        <f t="shared" si="38"/>
        <v>2012</v>
      </c>
      <c r="J106" s="41">
        <f t="shared" si="38"/>
        <v>2013</v>
      </c>
      <c r="K106" s="41">
        <f t="shared" si="38"/>
        <v>2014</v>
      </c>
      <c r="L106" s="41">
        <f t="shared" si="38"/>
        <v>2015</v>
      </c>
      <c r="M106" s="41">
        <f t="shared" si="38"/>
        <v>2016</v>
      </c>
      <c r="N106" s="41">
        <f t="shared" si="38"/>
        <v>2017</v>
      </c>
      <c r="O106" s="41">
        <f t="shared" si="38"/>
        <v>2018</v>
      </c>
      <c r="P106" s="41">
        <f t="shared" si="38"/>
        <v>2019</v>
      </c>
      <c r="Q106" s="41">
        <f t="shared" si="38"/>
        <v>2020</v>
      </c>
      <c r="R106" s="41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62">
        <v>0.6</v>
      </c>
      <c r="F107" s="69"/>
      <c r="G107" s="14" t="s">
        <v>267</v>
      </c>
      <c r="H107" s="70">
        <f t="shared" ref="H107:R107" si="39">H17/H4</f>
        <v>0</v>
      </c>
      <c r="I107" s="70">
        <f t="shared" si="39"/>
        <v>0</v>
      </c>
      <c r="J107" s="70">
        <f t="shared" si="39"/>
        <v>0</v>
      </c>
      <c r="K107" s="70">
        <f t="shared" si="39"/>
        <v>0</v>
      </c>
      <c r="L107" s="70">
        <f t="shared" si="39"/>
        <v>0</v>
      </c>
      <c r="M107" s="70">
        <f t="shared" si="39"/>
        <v>0</v>
      </c>
      <c r="N107" s="70">
        <f t="shared" si="39"/>
        <v>0</v>
      </c>
      <c r="O107" s="70">
        <f t="shared" si="39"/>
        <v>0</v>
      </c>
      <c r="P107" s="70">
        <f t="shared" si="39"/>
        <v>0</v>
      </c>
      <c r="Q107" s="70">
        <f t="shared" si="39"/>
        <v>0</v>
      </c>
      <c r="R107" s="70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62">
        <v>0.4</v>
      </c>
      <c r="F108" s="69"/>
      <c r="G108" s="59" t="s">
        <v>271</v>
      </c>
      <c r="H108" s="70" t="e">
        <f t="shared" ref="H108:R108" si="40">H27/H17</f>
        <v>#DIV/0!</v>
      </c>
      <c r="I108" s="70" t="e">
        <f t="shared" si="40"/>
        <v>#DIV/0!</v>
      </c>
      <c r="J108" s="70" t="e">
        <f t="shared" si="40"/>
        <v>#DIV/0!</v>
      </c>
      <c r="K108" s="70" t="e">
        <f t="shared" si="40"/>
        <v>#DIV/0!</v>
      </c>
      <c r="L108" s="70" t="e">
        <f t="shared" si="40"/>
        <v>#DIV/0!</v>
      </c>
      <c r="M108" s="70" t="e">
        <f t="shared" si="40"/>
        <v>#DIV/0!</v>
      </c>
      <c r="N108" s="70" t="e">
        <f t="shared" si="40"/>
        <v>#DIV/0!</v>
      </c>
      <c r="O108" s="70" t="e">
        <f t="shared" si="40"/>
        <v>#DIV/0!</v>
      </c>
      <c r="P108" s="70" t="e">
        <f t="shared" si="40"/>
        <v>#DIV/0!</v>
      </c>
      <c r="Q108" s="70" t="e">
        <f t="shared" si="40"/>
        <v>#DIV/0!</v>
      </c>
      <c r="R108" s="70" t="e">
        <f t="shared" si="40"/>
        <v>#DIV/0!</v>
      </c>
    </row>
    <row r="109" spans="1:18" x14ac:dyDescent="0.2">
      <c r="C109" s="16"/>
      <c r="F109" s="69"/>
      <c r="G109" s="74" t="s">
        <v>272</v>
      </c>
      <c r="H109" s="41">
        <f t="shared" ref="H109:R109" si="41">H95</f>
        <v>2011</v>
      </c>
      <c r="I109" s="41">
        <f t="shared" si="41"/>
        <v>2012</v>
      </c>
      <c r="J109" s="41">
        <f t="shared" si="41"/>
        <v>2013</v>
      </c>
      <c r="K109" s="41">
        <f t="shared" si="41"/>
        <v>2014</v>
      </c>
      <c r="L109" s="41">
        <f t="shared" si="41"/>
        <v>2015</v>
      </c>
      <c r="M109" s="41">
        <f t="shared" si="41"/>
        <v>2016</v>
      </c>
      <c r="N109" s="41">
        <f t="shared" si="41"/>
        <v>2017</v>
      </c>
      <c r="O109" s="41">
        <f t="shared" si="41"/>
        <v>2018</v>
      </c>
      <c r="P109" s="41">
        <f t="shared" si="41"/>
        <v>2019</v>
      </c>
      <c r="Q109" s="41">
        <f t="shared" si="41"/>
        <v>2020</v>
      </c>
      <c r="R109" s="41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60"/>
      <c r="F110" s="69"/>
      <c r="G110" s="18" t="s">
        <v>276</v>
      </c>
      <c r="H110" s="76">
        <f t="shared" ref="H110:R110" si="42">H10/H4</f>
        <v>0.93113392237407755</v>
      </c>
      <c r="I110" s="76">
        <f t="shared" si="42"/>
        <v>0.93267713016088105</v>
      </c>
      <c r="J110" s="76">
        <f t="shared" si="42"/>
        <v>0.8949660012971522</v>
      </c>
      <c r="K110" s="76">
        <f t="shared" si="42"/>
        <v>0.94950430523219043</v>
      </c>
      <c r="L110" s="76">
        <f t="shared" si="42"/>
        <v>0.97204525866922631</v>
      </c>
      <c r="M110" s="76">
        <f t="shared" si="42"/>
        <v>0.9269590545006442</v>
      </c>
      <c r="N110" s="76">
        <f t="shared" si="42"/>
        <v>0.97607921673342235</v>
      </c>
      <c r="O110" s="76">
        <f t="shared" si="42"/>
        <v>0.97632522165629132</v>
      </c>
      <c r="P110" s="76">
        <f t="shared" si="42"/>
        <v>0.98045432653716491</v>
      </c>
      <c r="Q110" s="76">
        <f t="shared" si="42"/>
        <v>0.98296459378496404</v>
      </c>
      <c r="R110" s="76">
        <f t="shared" si="42"/>
        <v>0.98341962120715642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60"/>
      <c r="F111" s="69"/>
      <c r="G111" s="18" t="s">
        <v>280</v>
      </c>
      <c r="H111" s="76">
        <f t="shared" ref="H111:R111" si="43">-(H58)/H15</f>
        <v>0.12365141896667689</v>
      </c>
      <c r="I111" s="76">
        <f t="shared" si="43"/>
        <v>5.0470704854076592E-2</v>
      </c>
      <c r="J111" s="76">
        <f t="shared" si="43"/>
        <v>0.10478871331374251</v>
      </c>
      <c r="K111" s="76">
        <f t="shared" si="43"/>
        <v>0.11895147175806414</v>
      </c>
      <c r="L111" s="76">
        <f t="shared" si="43"/>
        <v>5.7294817172868308E-2</v>
      </c>
      <c r="M111" s="76">
        <f t="shared" si="43"/>
        <v>6.9853163333131907E-2</v>
      </c>
      <c r="N111" s="76">
        <f t="shared" si="43"/>
        <v>0.13780918727915195</v>
      </c>
      <c r="O111" s="76">
        <f t="shared" si="43"/>
        <v>0.23002608443628636</v>
      </c>
      <c r="P111" s="76">
        <f t="shared" si="43"/>
        <v>0.21977976994555651</v>
      </c>
      <c r="Q111" s="76">
        <f t="shared" si="43"/>
        <v>0.15939049017807969</v>
      </c>
      <c r="R111" s="76">
        <f t="shared" si="43"/>
        <v>0.14534186325469811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60"/>
      <c r="F112" s="69"/>
      <c r="G112" s="14" t="s">
        <v>284</v>
      </c>
      <c r="H112" s="65">
        <f t="shared" ref="H112:R112" si="44">H33/H4</f>
        <v>0.16503561706735304</v>
      </c>
      <c r="I112" s="65">
        <f t="shared" si="44"/>
        <v>0.2476355663851694</v>
      </c>
      <c r="J112" s="65">
        <f t="shared" si="44"/>
        <v>0.22378863812005392</v>
      </c>
      <c r="K112" s="65">
        <f t="shared" si="44"/>
        <v>0.1108567991045576</v>
      </c>
      <c r="L112" s="65">
        <f t="shared" si="44"/>
        <v>0.18191225125342858</v>
      </c>
      <c r="M112" s="65">
        <f t="shared" si="44"/>
        <v>0.18713941634459194</v>
      </c>
      <c r="N112" s="65">
        <f t="shared" si="44"/>
        <v>0.25634178905206945</v>
      </c>
      <c r="O112" s="65">
        <f t="shared" si="44"/>
        <v>0.33309752876815696</v>
      </c>
      <c r="P112" s="65">
        <f t="shared" si="44"/>
        <v>0.31638304703804782</v>
      </c>
      <c r="Q112" s="65">
        <f t="shared" si="44"/>
        <v>0.25379867903417908</v>
      </c>
      <c r="R112" s="65">
        <f t="shared" si="44"/>
        <v>0.24270922078773183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60"/>
      <c r="F113" s="69"/>
      <c r="G113" s="59" t="s">
        <v>288</v>
      </c>
      <c r="H113" s="65">
        <f t="shared" ref="H113:R113" si="45">H33/H15</f>
        <v>0.18062403997141135</v>
      </c>
      <c r="I113" s="65">
        <f t="shared" si="45"/>
        <v>0.26851617549197321</v>
      </c>
      <c r="J113" s="65">
        <f t="shared" si="45"/>
        <v>0.25956496179461569</v>
      </c>
      <c r="K113" s="65">
        <f t="shared" si="45"/>
        <v>0.11716476555737902</v>
      </c>
      <c r="L113" s="65">
        <f t="shared" si="45"/>
        <v>0.18721170984017665</v>
      </c>
      <c r="M113" s="65">
        <f t="shared" si="45"/>
        <v>0.20188531029065201</v>
      </c>
      <c r="N113" s="65">
        <f t="shared" si="45"/>
        <v>0.26262395987689502</v>
      </c>
      <c r="O113" s="65">
        <f t="shared" si="45"/>
        <v>0.34117476572311856</v>
      </c>
      <c r="P113" s="65">
        <f t="shared" si="45"/>
        <v>0.32269024520037659</v>
      </c>
      <c r="Q113" s="65">
        <f t="shared" si="45"/>
        <v>0.2581971727556453</v>
      </c>
      <c r="R113" s="65">
        <f t="shared" si="45"/>
        <v>0.24680127948820471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62">
        <v>0.5</v>
      </c>
      <c r="E114" s="62">
        <f>1/3</f>
        <v>0.33333333333333331</v>
      </c>
      <c r="F114" s="69"/>
      <c r="G114" s="18" t="s">
        <v>292</v>
      </c>
      <c r="H114" s="76">
        <f t="shared" ref="H114:R114" si="46">H27/H4</f>
        <v>0.91001262831485741</v>
      </c>
      <c r="I114" s="76">
        <f t="shared" si="46"/>
        <v>0.91736602576481474</v>
      </c>
      <c r="J114" s="76">
        <f t="shared" si="46"/>
        <v>0.86254082891495976</v>
      </c>
      <c r="K114" s="76">
        <f t="shared" si="46"/>
        <v>0.94906471506367063</v>
      </c>
      <c r="L114" s="76">
        <f t="shared" si="46"/>
        <v>0.97969632600838175</v>
      </c>
      <c r="M114" s="76">
        <f t="shared" si="46"/>
        <v>0.93552904273791515</v>
      </c>
      <c r="N114" s="76">
        <f t="shared" si="46"/>
        <v>0.97774810858923011</v>
      </c>
      <c r="O114" s="76">
        <f t="shared" si="46"/>
        <v>0.97943784191661953</v>
      </c>
      <c r="P114" s="76">
        <f t="shared" si="46"/>
        <v>0.98539091346925667</v>
      </c>
      <c r="Q114" s="76">
        <f t="shared" si="46"/>
        <v>0.98556321507200351</v>
      </c>
      <c r="R114" s="76">
        <f t="shared" si="46"/>
        <v>0.98853135854249952</v>
      </c>
    </row>
    <row r="115" spans="1:19" x14ac:dyDescent="0.2">
      <c r="A115" s="77"/>
      <c r="C115" s="77"/>
      <c r="D115" s="78"/>
      <c r="E115" s="79"/>
      <c r="F115" s="69"/>
      <c r="G115" s="11" t="s">
        <v>293</v>
      </c>
      <c r="H115" s="41">
        <f t="shared" ref="H115:R115" si="47">H109</f>
        <v>2011</v>
      </c>
      <c r="I115" s="41">
        <f t="shared" si="47"/>
        <v>2012</v>
      </c>
      <c r="J115" s="41">
        <f t="shared" si="47"/>
        <v>2013</v>
      </c>
      <c r="K115" s="41">
        <f t="shared" si="47"/>
        <v>2014</v>
      </c>
      <c r="L115" s="41">
        <f t="shared" si="47"/>
        <v>2015</v>
      </c>
      <c r="M115" s="41">
        <f t="shared" si="47"/>
        <v>2016</v>
      </c>
      <c r="N115" s="41">
        <f t="shared" si="47"/>
        <v>2017</v>
      </c>
      <c r="O115" s="41">
        <f t="shared" si="47"/>
        <v>2018</v>
      </c>
      <c r="P115" s="41">
        <f t="shared" si="47"/>
        <v>2019</v>
      </c>
      <c r="Q115" s="41">
        <f t="shared" si="47"/>
        <v>2020</v>
      </c>
      <c r="R115" s="41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62">
        <v>0.05</v>
      </c>
      <c r="G116" s="14" t="s">
        <v>297</v>
      </c>
      <c r="H116" s="64">
        <f t="shared" ref="H116:R116" si="48">H35/H33</f>
        <v>0.38408602918430917</v>
      </c>
      <c r="I116" s="64">
        <f t="shared" si="48"/>
        <v>0.1162280578655317</v>
      </c>
      <c r="J116" s="64">
        <f t="shared" si="48"/>
        <v>0.17686996697205407</v>
      </c>
      <c r="K116" s="64">
        <f t="shared" si="48"/>
        <v>0.54262573873244047</v>
      </c>
      <c r="L116" s="64">
        <f t="shared" si="48"/>
        <v>0.38865415185005853</v>
      </c>
      <c r="M116" s="64">
        <f t="shared" si="48"/>
        <v>0.35707871894642323</v>
      </c>
      <c r="N116" s="64">
        <f t="shared" si="48"/>
        <v>0.28211805555555558</v>
      </c>
      <c r="O116" s="64">
        <f t="shared" si="48"/>
        <v>0.20133087922978904</v>
      </c>
      <c r="P116" s="64">
        <f t="shared" si="48"/>
        <v>0.20296841304072052</v>
      </c>
      <c r="Q116" s="64">
        <f t="shared" si="48"/>
        <v>0.24914675767918087</v>
      </c>
      <c r="R116" s="64">
        <f t="shared" si="48"/>
        <v>0.28284055623059268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62">
        <v>0.95</v>
      </c>
      <c r="G117" s="18" t="s">
        <v>301</v>
      </c>
      <c r="H117" s="76">
        <f t="shared" ref="H117:R117" si="49">(H36+H34)/H33</f>
        <v>0.61125675291130777</v>
      </c>
      <c r="I117" s="76">
        <f t="shared" si="49"/>
        <v>0.88343017745423968</v>
      </c>
      <c r="J117" s="76">
        <f t="shared" si="49"/>
        <v>0.82292447079392883</v>
      </c>
      <c r="K117" s="76">
        <f t="shared" si="49"/>
        <v>0.45634662789656905</v>
      </c>
      <c r="L117" s="76">
        <f t="shared" si="49"/>
        <v>0.59672787705092911</v>
      </c>
      <c r="M117" s="76">
        <f t="shared" si="49"/>
        <v>0.64232265788686027</v>
      </c>
      <c r="N117" s="76">
        <f t="shared" si="49"/>
        <v>0.71072048611111116</v>
      </c>
      <c r="O117" s="76">
        <f t="shared" si="49"/>
        <v>0.79866912077021091</v>
      </c>
      <c r="P117" s="76">
        <f t="shared" si="49"/>
        <v>0.79703158695927945</v>
      </c>
      <c r="Q117" s="76">
        <f t="shared" si="49"/>
        <v>0.75085324232081907</v>
      </c>
      <c r="R117" s="76">
        <f t="shared" si="49"/>
        <v>0.71715944376940732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62">
        <v>0.95</v>
      </c>
      <c r="G118" s="59" t="s">
        <v>305</v>
      </c>
      <c r="H118" s="64">
        <f t="shared" ref="H118:R118" si="50">H38/(H38+H41)</f>
        <v>1.9582854670505915E-2</v>
      </c>
      <c r="I118" s="64">
        <f t="shared" si="50"/>
        <v>0</v>
      </c>
      <c r="J118" s="64">
        <f t="shared" si="50"/>
        <v>0</v>
      </c>
      <c r="K118" s="64">
        <f t="shared" si="50"/>
        <v>0</v>
      </c>
      <c r="L118" s="64">
        <f t="shared" si="50"/>
        <v>0</v>
      </c>
      <c r="M118" s="64">
        <f t="shared" si="50"/>
        <v>0</v>
      </c>
      <c r="N118" s="64">
        <f t="shared" si="50"/>
        <v>0</v>
      </c>
      <c r="O118" s="64">
        <f t="shared" si="50"/>
        <v>0</v>
      </c>
      <c r="P118" s="64">
        <f t="shared" si="50"/>
        <v>0</v>
      </c>
      <c r="Q118" s="64">
        <f t="shared" si="50"/>
        <v>0</v>
      </c>
      <c r="R118" s="64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11" t="s">
        <v>306</v>
      </c>
      <c r="H119" s="41">
        <f>H115</f>
        <v>2011</v>
      </c>
      <c r="I119" s="41">
        <f t="shared" ref="I119:R119" si="51">I115</f>
        <v>2012</v>
      </c>
      <c r="J119" s="41">
        <f t="shared" si="51"/>
        <v>2013</v>
      </c>
      <c r="K119" s="41">
        <f t="shared" si="51"/>
        <v>2014</v>
      </c>
      <c r="L119" s="41">
        <f t="shared" si="51"/>
        <v>2015</v>
      </c>
      <c r="M119" s="41">
        <f t="shared" si="51"/>
        <v>2016</v>
      </c>
      <c r="N119" s="41">
        <f t="shared" si="51"/>
        <v>2017</v>
      </c>
      <c r="O119" s="41">
        <f t="shared" si="51"/>
        <v>2018</v>
      </c>
      <c r="P119" s="41">
        <f t="shared" si="51"/>
        <v>2019</v>
      </c>
      <c r="Q119" s="41">
        <f t="shared" si="51"/>
        <v>2020</v>
      </c>
      <c r="R119" s="41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81">
        <v>0.5</v>
      </c>
      <c r="E120" s="82" t="s">
        <v>310</v>
      </c>
      <c r="F120" s="4"/>
      <c r="G120" s="14" t="s">
        <v>311</v>
      </c>
      <c r="H120" s="65" t="str">
        <f t="shared" ref="H120:R120" si="52">IF(H116&lt;$D$120,$E$120,H35/H4)</f>
        <v>N/A</v>
      </c>
      <c r="I120" s="65" t="str">
        <f t="shared" si="52"/>
        <v>N/A</v>
      </c>
      <c r="J120" s="65" t="str">
        <f t="shared" si="52"/>
        <v>N/A</v>
      </c>
      <c r="K120" s="65">
        <f t="shared" si="52"/>
        <v>6.0153752507624315E-2</v>
      </c>
      <c r="L120" s="65" t="str">
        <f t="shared" si="52"/>
        <v>N/A</v>
      </c>
      <c r="M120" s="65" t="str">
        <f t="shared" si="52"/>
        <v>N/A</v>
      </c>
      <c r="N120" s="65" t="str">
        <f t="shared" si="52"/>
        <v>N/A</v>
      </c>
      <c r="O120" s="65" t="str">
        <f t="shared" si="52"/>
        <v>N/A</v>
      </c>
      <c r="P120" s="65" t="str">
        <f t="shared" si="52"/>
        <v>N/A</v>
      </c>
      <c r="Q120" s="65" t="str">
        <f t="shared" si="52"/>
        <v>N/A</v>
      </c>
      <c r="R120" s="65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81">
        <v>0.5</v>
      </c>
      <c r="E121" s="82" t="s">
        <v>310</v>
      </c>
      <c r="F121" s="4"/>
      <c r="G121" s="18" t="s">
        <v>315</v>
      </c>
      <c r="H121" s="65" t="str">
        <f t="shared" ref="H121:R121" si="53">IF(H116&lt;$D$121,$E$121,H35/H15)</f>
        <v>N/A</v>
      </c>
      <c r="I121" s="65" t="str">
        <f t="shared" si="53"/>
        <v>N/A</v>
      </c>
      <c r="J121" s="65" t="str">
        <f t="shared" si="53"/>
        <v>N/A</v>
      </c>
      <c r="K121" s="65">
        <f t="shared" si="53"/>
        <v>6.357661746398599E-2</v>
      </c>
      <c r="L121" s="65" t="str">
        <f t="shared" si="53"/>
        <v>N/A</v>
      </c>
      <c r="M121" s="65" t="str">
        <f t="shared" si="53"/>
        <v>N/A</v>
      </c>
      <c r="N121" s="65" t="str">
        <f t="shared" si="53"/>
        <v>N/A</v>
      </c>
      <c r="O121" s="65" t="str">
        <f t="shared" si="53"/>
        <v>N/A</v>
      </c>
      <c r="P121" s="65" t="str">
        <f t="shared" si="53"/>
        <v>N/A</v>
      </c>
      <c r="Q121" s="65" t="str">
        <f t="shared" si="53"/>
        <v>N/A</v>
      </c>
      <c r="R121" s="65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81">
        <v>0.5</v>
      </c>
      <c r="E122" s="82" t="s">
        <v>310</v>
      </c>
      <c r="F122" s="4"/>
      <c r="G122" s="14" t="s">
        <v>318</v>
      </c>
      <c r="H122" s="76" t="str">
        <f t="shared" ref="H122:R122" si="54">IF(H116&lt;$D$122,$E$122,H46/H33)</f>
        <v>N/A</v>
      </c>
      <c r="I122" s="76" t="str">
        <f t="shared" si="54"/>
        <v>N/A</v>
      </c>
      <c r="J122" s="76" t="str">
        <f t="shared" si="54"/>
        <v>N/A</v>
      </c>
      <c r="K122" s="76">
        <f t="shared" si="54"/>
        <v>-0.71337737706742299</v>
      </c>
      <c r="L122" s="76" t="str">
        <f t="shared" si="54"/>
        <v>N/A</v>
      </c>
      <c r="M122" s="76" t="str">
        <f t="shared" si="54"/>
        <v>N/A</v>
      </c>
      <c r="N122" s="76" t="str">
        <f t="shared" si="54"/>
        <v>N/A</v>
      </c>
      <c r="O122" s="76" t="str">
        <f t="shared" si="54"/>
        <v>N/A</v>
      </c>
      <c r="P122" s="76" t="str">
        <f t="shared" si="54"/>
        <v>N/A</v>
      </c>
      <c r="Q122" s="76" t="str">
        <f t="shared" si="54"/>
        <v>N/A</v>
      </c>
      <c r="R122" s="76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81">
        <v>0.5</v>
      </c>
      <c r="E123" s="82" t="s">
        <v>310</v>
      </c>
      <c r="F123" s="4"/>
      <c r="G123" s="18" t="s">
        <v>322</v>
      </c>
      <c r="H123" s="76" t="str">
        <f t="shared" ref="H123:R123" si="55">IF(H116&lt;$D$122,$E$123,H51/H33)</f>
        <v>N/A</v>
      </c>
      <c r="I123" s="76" t="str">
        <f t="shared" si="55"/>
        <v>N/A</v>
      </c>
      <c r="J123" s="76" t="str">
        <f t="shared" si="55"/>
        <v>N/A</v>
      </c>
      <c r="K123" s="76">
        <f t="shared" si="55"/>
        <v>-0.72005505869944408</v>
      </c>
      <c r="L123" s="76" t="str">
        <f t="shared" si="55"/>
        <v>N/A</v>
      </c>
      <c r="M123" s="76" t="str">
        <f t="shared" si="55"/>
        <v>N/A</v>
      </c>
      <c r="N123" s="76" t="str">
        <f t="shared" si="55"/>
        <v>N/A</v>
      </c>
      <c r="O123" s="76" t="str">
        <f t="shared" si="55"/>
        <v>N/A</v>
      </c>
      <c r="P123" s="76" t="str">
        <f t="shared" si="55"/>
        <v>N/A</v>
      </c>
      <c r="Q123" s="76" t="str">
        <f t="shared" si="55"/>
        <v>N/A</v>
      </c>
      <c r="R123" s="76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81">
        <v>0.5</v>
      </c>
      <c r="E124" s="82" t="s">
        <v>310</v>
      </c>
      <c r="F124" s="4"/>
      <c r="G124" s="18" t="s">
        <v>326</v>
      </c>
      <c r="H124" s="76" t="str">
        <f t="shared" ref="H124:R124" si="56">IF(H116&lt;$D$124,$E$124,H51/H4)</f>
        <v>N/A</v>
      </c>
      <c r="I124" s="76" t="str">
        <f t="shared" si="56"/>
        <v>N/A</v>
      </c>
      <c r="J124" s="76" t="str">
        <f t="shared" si="56"/>
        <v>N/A</v>
      </c>
      <c r="K124" s="76">
        <f t="shared" si="56"/>
        <v>-7.9822998986464708E-2</v>
      </c>
      <c r="L124" s="76" t="str">
        <f t="shared" si="56"/>
        <v>N/A</v>
      </c>
      <c r="M124" s="76" t="str">
        <f t="shared" si="56"/>
        <v>N/A</v>
      </c>
      <c r="N124" s="76" t="str">
        <f t="shared" si="56"/>
        <v>N/A</v>
      </c>
      <c r="O124" s="76" t="str">
        <f t="shared" si="56"/>
        <v>N/A</v>
      </c>
      <c r="P124" s="76" t="str">
        <f t="shared" si="56"/>
        <v>N/A</v>
      </c>
      <c r="Q124" s="76" t="str">
        <f t="shared" si="56"/>
        <v>N/A</v>
      </c>
      <c r="R124" s="76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81">
        <v>0.5</v>
      </c>
      <c r="E125" s="82" t="s">
        <v>310</v>
      </c>
      <c r="F125" s="4"/>
      <c r="G125" s="59" t="s">
        <v>330</v>
      </c>
      <c r="H125" s="76" t="str">
        <f t="shared" ref="H125:R125" si="57">IF(H116&lt;$D$125,$E$125,H51/H27)</f>
        <v>N/A</v>
      </c>
      <c r="I125" s="76" t="str">
        <f t="shared" si="57"/>
        <v>N/A</v>
      </c>
      <c r="J125" s="76" t="str">
        <f t="shared" si="57"/>
        <v>N/A</v>
      </c>
      <c r="K125" s="76">
        <f t="shared" si="57"/>
        <v>-8.4107013694118382E-2</v>
      </c>
      <c r="L125" s="76" t="str">
        <f t="shared" si="57"/>
        <v>N/A</v>
      </c>
      <c r="M125" s="76" t="str">
        <f t="shared" si="57"/>
        <v>N/A</v>
      </c>
      <c r="N125" s="76" t="str">
        <f t="shared" si="57"/>
        <v>N/A</v>
      </c>
      <c r="O125" s="76" t="str">
        <f t="shared" si="57"/>
        <v>N/A</v>
      </c>
      <c r="P125" s="76" t="str">
        <f t="shared" si="57"/>
        <v>N/A</v>
      </c>
      <c r="Q125" s="76" t="str">
        <f t="shared" si="57"/>
        <v>N/A</v>
      </c>
      <c r="R125" s="76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41">
        <f>H119</f>
        <v>2011</v>
      </c>
      <c r="I127" s="41">
        <f t="shared" ref="I127:R127" si="58">I119</f>
        <v>2012</v>
      </c>
      <c r="J127" s="41">
        <f t="shared" si="58"/>
        <v>2013</v>
      </c>
      <c r="K127" s="41">
        <f t="shared" si="58"/>
        <v>2014</v>
      </c>
      <c r="L127" s="41">
        <f t="shared" si="58"/>
        <v>2015</v>
      </c>
      <c r="M127" s="41">
        <f t="shared" si="58"/>
        <v>2016</v>
      </c>
      <c r="N127" s="41">
        <f t="shared" si="58"/>
        <v>2017</v>
      </c>
      <c r="O127" s="41">
        <f t="shared" si="58"/>
        <v>2018</v>
      </c>
      <c r="P127" s="41">
        <f t="shared" si="58"/>
        <v>2019</v>
      </c>
      <c r="Q127" s="41">
        <f t="shared" si="58"/>
        <v>2020</v>
      </c>
      <c r="R127" s="41">
        <f t="shared" si="58"/>
        <v>2021</v>
      </c>
    </row>
    <row r="128" spans="1:19" x14ac:dyDescent="0.2">
      <c r="G128" s="83" t="s">
        <v>331</v>
      </c>
      <c r="H128" s="84">
        <f t="shared" ref="H128:R128" si="59">H33</f>
        <v>2744.5569999999998</v>
      </c>
      <c r="I128" s="84">
        <f t="shared" si="59"/>
        <v>4631.8419999999996</v>
      </c>
      <c r="J128" s="84">
        <f t="shared" si="59"/>
        <v>4927.9480000000003</v>
      </c>
      <c r="K128" s="84">
        <f t="shared" si="59"/>
        <v>2066.8849999999998</v>
      </c>
      <c r="L128" s="84">
        <f t="shared" si="59"/>
        <v>3182.5209999999997</v>
      </c>
      <c r="M128" s="84">
        <f t="shared" si="59"/>
        <v>3341</v>
      </c>
      <c r="N128" s="84">
        <f t="shared" si="59"/>
        <v>4608</v>
      </c>
      <c r="O128" s="84">
        <f t="shared" si="59"/>
        <v>7063</v>
      </c>
      <c r="P128" s="84">
        <f t="shared" si="59"/>
        <v>7883</v>
      </c>
      <c r="Q128" s="84">
        <f t="shared" si="59"/>
        <v>7032</v>
      </c>
      <c r="R128" s="84">
        <f t="shared" si="59"/>
        <v>7407</v>
      </c>
    </row>
    <row r="129" spans="3:19" x14ac:dyDescent="0.2">
      <c r="G129" s="83" t="s">
        <v>332</v>
      </c>
      <c r="H129" s="84">
        <f t="shared" ref="H129:R130" si="60">H35</f>
        <v>1054.146</v>
      </c>
      <c r="I129" s="84">
        <f t="shared" si="60"/>
        <v>538.35</v>
      </c>
      <c r="J129" s="84">
        <f t="shared" si="60"/>
        <v>871.60599999999999</v>
      </c>
      <c r="K129" s="84">
        <f t="shared" si="60"/>
        <v>1121.5450000000001</v>
      </c>
      <c r="L129" s="84">
        <f t="shared" si="60"/>
        <v>1236.9000000000001</v>
      </c>
      <c r="M129" s="84">
        <f t="shared" si="60"/>
        <v>1193</v>
      </c>
      <c r="N129" s="84">
        <f t="shared" si="60"/>
        <v>1300</v>
      </c>
      <c r="O129" s="84">
        <f t="shared" si="60"/>
        <v>1422</v>
      </c>
      <c r="P129" s="84">
        <f t="shared" si="60"/>
        <v>1600</v>
      </c>
      <c r="Q129" s="84">
        <f t="shared" si="60"/>
        <v>1752</v>
      </c>
      <c r="R129" s="84">
        <f t="shared" si="60"/>
        <v>2095</v>
      </c>
    </row>
    <row r="130" spans="3:19" x14ac:dyDescent="0.2">
      <c r="G130" s="83" t="s">
        <v>333</v>
      </c>
      <c r="H130" s="84">
        <f t="shared" si="60"/>
        <v>1677.6289999999999</v>
      </c>
      <c r="I130" s="84">
        <f t="shared" si="60"/>
        <v>4091.9090000000001</v>
      </c>
      <c r="J130" s="84">
        <f t="shared" si="60"/>
        <v>4055.3290000000002</v>
      </c>
      <c r="K130" s="84">
        <f t="shared" si="60"/>
        <v>943.21600000000001</v>
      </c>
      <c r="L130" s="84">
        <f t="shared" si="60"/>
        <v>1899.0989999999999</v>
      </c>
      <c r="M130" s="84">
        <f t="shared" si="60"/>
        <v>2146</v>
      </c>
      <c r="N130" s="84">
        <f t="shared" si="60"/>
        <v>3275</v>
      </c>
      <c r="O130" s="84">
        <f t="shared" si="60"/>
        <v>5641</v>
      </c>
      <c r="P130" s="84">
        <f t="shared" si="60"/>
        <v>6283</v>
      </c>
      <c r="Q130" s="84">
        <f t="shared" si="60"/>
        <v>5280</v>
      </c>
      <c r="R130" s="84">
        <f t="shared" si="60"/>
        <v>5312</v>
      </c>
    </row>
    <row r="131" spans="3:19" x14ac:dyDescent="0.2">
      <c r="G131" s="83" t="s">
        <v>334</v>
      </c>
      <c r="H131" s="84">
        <f t="shared" ref="H131:R131" si="61">H38+H41</f>
        <v>-3351.3500000000004</v>
      </c>
      <c r="I131" s="84">
        <f t="shared" si="61"/>
        <v>-2589.6709999999998</v>
      </c>
      <c r="J131" s="84">
        <f t="shared" si="61"/>
        <v>-3079.4670000000001</v>
      </c>
      <c r="K131" s="84">
        <f t="shared" si="61"/>
        <v>-3541.3540000000003</v>
      </c>
      <c r="L131" s="84">
        <f t="shared" si="61"/>
        <v>-3735.277</v>
      </c>
      <c r="M131" s="84">
        <f t="shared" si="61"/>
        <v>-3778</v>
      </c>
      <c r="N131" s="84">
        <f t="shared" si="61"/>
        <v>-3731</v>
      </c>
      <c r="O131" s="84">
        <f t="shared" si="61"/>
        <v>-3870</v>
      </c>
      <c r="P131" s="84">
        <f t="shared" si="61"/>
        <v>-4098</v>
      </c>
      <c r="Q131" s="84">
        <f t="shared" si="61"/>
        <v>-4277</v>
      </c>
      <c r="R131" s="84">
        <f t="shared" si="61"/>
        <v>-4546</v>
      </c>
    </row>
    <row r="132" spans="3:19" x14ac:dyDescent="0.2">
      <c r="G132" s="83" t="s">
        <v>335</v>
      </c>
      <c r="H132" s="84">
        <f t="shared" ref="H132:R132" si="62">H41</f>
        <v>-3285.7210000000005</v>
      </c>
      <c r="I132" s="84">
        <f t="shared" si="62"/>
        <v>-2589.6709999999998</v>
      </c>
      <c r="J132" s="84">
        <f t="shared" si="62"/>
        <v>-3079.4670000000001</v>
      </c>
      <c r="K132" s="84">
        <f t="shared" si="62"/>
        <v>-3541.3540000000003</v>
      </c>
      <c r="L132" s="84">
        <f t="shared" si="62"/>
        <v>-3735.277</v>
      </c>
      <c r="M132" s="84">
        <f t="shared" si="62"/>
        <v>-3778</v>
      </c>
      <c r="N132" s="84">
        <f t="shared" si="62"/>
        <v>-3731</v>
      </c>
      <c r="O132" s="84">
        <f t="shared" si="62"/>
        <v>-3870</v>
      </c>
      <c r="P132" s="84">
        <f t="shared" si="62"/>
        <v>-4098</v>
      </c>
      <c r="Q132" s="84">
        <f t="shared" si="62"/>
        <v>-4277</v>
      </c>
      <c r="R132" s="84">
        <f t="shared" si="62"/>
        <v>-4546</v>
      </c>
    </row>
    <row r="133" spans="3:19" x14ac:dyDescent="0.2">
      <c r="G133" s="83" t="s">
        <v>336</v>
      </c>
      <c r="H133" s="84">
        <f t="shared" ref="H133:R133" si="63">H38</f>
        <v>-65.629000000000005</v>
      </c>
      <c r="I133" s="84">
        <f t="shared" si="63"/>
        <v>0</v>
      </c>
      <c r="J133" s="84">
        <f t="shared" si="63"/>
        <v>0</v>
      </c>
      <c r="K133" s="84">
        <f t="shared" si="63"/>
        <v>0</v>
      </c>
      <c r="L133" s="84">
        <f t="shared" si="63"/>
        <v>0</v>
      </c>
      <c r="M133" s="84">
        <f t="shared" si="63"/>
        <v>0</v>
      </c>
      <c r="N133" s="84">
        <f t="shared" si="63"/>
        <v>0</v>
      </c>
      <c r="O133" s="84">
        <f t="shared" si="63"/>
        <v>0</v>
      </c>
      <c r="P133" s="84">
        <f t="shared" si="63"/>
        <v>0</v>
      </c>
      <c r="Q133" s="84">
        <f t="shared" si="63"/>
        <v>0</v>
      </c>
      <c r="R133" s="84">
        <f t="shared" si="63"/>
        <v>0</v>
      </c>
    </row>
    <row r="134" spans="3:19" x14ac:dyDescent="0.2">
      <c r="G134" s="83" t="s">
        <v>337</v>
      </c>
      <c r="H134" s="84">
        <f t="shared" ref="H134:R134" si="64">H46</f>
        <v>-606.79300000000057</v>
      </c>
      <c r="I134" s="84">
        <f t="shared" si="64"/>
        <v>2042.1709999999998</v>
      </c>
      <c r="J134" s="84">
        <f t="shared" si="64"/>
        <v>1848.4810000000002</v>
      </c>
      <c r="K134" s="84">
        <f t="shared" si="64"/>
        <v>-1474.4690000000005</v>
      </c>
      <c r="L134" s="84">
        <f t="shared" si="64"/>
        <v>-552.75600000000031</v>
      </c>
      <c r="M134" s="84">
        <f t="shared" si="64"/>
        <v>-437</v>
      </c>
      <c r="N134" s="84">
        <f t="shared" si="64"/>
        <v>877</v>
      </c>
      <c r="O134" s="84">
        <f t="shared" si="64"/>
        <v>3193</v>
      </c>
      <c r="P134" s="84">
        <f t="shared" si="64"/>
        <v>3785</v>
      </c>
      <c r="Q134" s="84">
        <f t="shared" si="64"/>
        <v>2755</v>
      </c>
      <c r="R134" s="84">
        <f t="shared" si="64"/>
        <v>2861</v>
      </c>
    </row>
    <row r="135" spans="3:19" x14ac:dyDescent="0.2">
      <c r="G135" s="83" t="s">
        <v>338</v>
      </c>
      <c r="H135" s="84">
        <f t="shared" ref="H135:R135" si="65">H51</f>
        <v>-640.56500000000062</v>
      </c>
      <c r="I135" s="84">
        <f t="shared" si="65"/>
        <v>2025.0689999999997</v>
      </c>
      <c r="J135" s="84">
        <f t="shared" si="65"/>
        <v>1834.9600000000003</v>
      </c>
      <c r="K135" s="84">
        <f t="shared" si="65"/>
        <v>-1488.2710000000004</v>
      </c>
      <c r="L135" s="84">
        <f t="shared" si="65"/>
        <v>-555.36300000000028</v>
      </c>
      <c r="M135" s="84">
        <f t="shared" si="65"/>
        <v>-437</v>
      </c>
      <c r="N135" s="84">
        <f t="shared" si="65"/>
        <v>874</v>
      </c>
      <c r="O135" s="84">
        <f t="shared" si="65"/>
        <v>3192</v>
      </c>
      <c r="P135" s="84">
        <f t="shared" si="65"/>
        <v>3784</v>
      </c>
      <c r="Q135" s="84">
        <f t="shared" si="65"/>
        <v>2755</v>
      </c>
      <c r="R135" s="84">
        <f t="shared" si="65"/>
        <v>2861</v>
      </c>
    </row>
    <row r="136" spans="3:19" x14ac:dyDescent="0.2">
      <c r="G136" s="83" t="s">
        <v>339</v>
      </c>
      <c r="H136" s="84">
        <f t="shared" ref="H136:R137" si="66">H4</f>
        <v>16630.089</v>
      </c>
      <c r="I136" s="84">
        <f t="shared" si="66"/>
        <v>18704.268</v>
      </c>
      <c r="J136" s="84">
        <f t="shared" si="66"/>
        <v>22020.545999999998</v>
      </c>
      <c r="K136" s="84">
        <f t="shared" si="66"/>
        <v>18644.638999999999</v>
      </c>
      <c r="L136" s="84">
        <f t="shared" si="66"/>
        <v>17494.813999999998</v>
      </c>
      <c r="M136" s="84">
        <f t="shared" si="66"/>
        <v>17853</v>
      </c>
      <c r="N136" s="84">
        <f t="shared" si="66"/>
        <v>17976</v>
      </c>
      <c r="O136" s="84">
        <f t="shared" si="66"/>
        <v>21204</v>
      </c>
      <c r="P136" s="84">
        <f t="shared" si="66"/>
        <v>24916</v>
      </c>
      <c r="Q136" s="84">
        <f t="shared" si="66"/>
        <v>27707</v>
      </c>
      <c r="R136" s="84">
        <f t="shared" si="66"/>
        <v>30518</v>
      </c>
    </row>
    <row r="137" spans="3:19" x14ac:dyDescent="0.2">
      <c r="G137" s="83" t="s">
        <v>340</v>
      </c>
      <c r="H137" s="84">
        <f t="shared" si="66"/>
        <v>1145.249</v>
      </c>
      <c r="I137" s="84">
        <f t="shared" si="66"/>
        <v>1259.2250000000001</v>
      </c>
      <c r="J137" s="84">
        <f t="shared" si="66"/>
        <v>2312.9059999999999</v>
      </c>
      <c r="K137" s="84">
        <f t="shared" si="66"/>
        <v>941.47399999999993</v>
      </c>
      <c r="L137" s="84">
        <f t="shared" si="66"/>
        <v>489.06299999999999</v>
      </c>
      <c r="M137" s="84">
        <f t="shared" si="66"/>
        <v>1304</v>
      </c>
      <c r="N137" s="84">
        <f t="shared" si="66"/>
        <v>430</v>
      </c>
      <c r="O137" s="84">
        <f t="shared" si="66"/>
        <v>502</v>
      </c>
      <c r="P137" s="84">
        <f t="shared" si="66"/>
        <v>487</v>
      </c>
      <c r="Q137" s="84">
        <f t="shared" si="66"/>
        <v>472</v>
      </c>
      <c r="R137" s="84">
        <f t="shared" si="66"/>
        <v>506</v>
      </c>
    </row>
    <row r="138" spans="3:19" x14ac:dyDescent="0.2">
      <c r="G138" s="83" t="s">
        <v>341</v>
      </c>
      <c r="H138" s="84">
        <f t="shared" ref="H138:R138" si="67">H10</f>
        <v>15484.84</v>
      </c>
      <c r="I138" s="84">
        <f t="shared" si="67"/>
        <v>17445.043000000001</v>
      </c>
      <c r="J138" s="84">
        <f t="shared" si="67"/>
        <v>19707.64</v>
      </c>
      <c r="K138" s="84">
        <f t="shared" si="67"/>
        <v>17703.165000000001</v>
      </c>
      <c r="L138" s="84">
        <f t="shared" si="67"/>
        <v>17005.751</v>
      </c>
      <c r="M138" s="84">
        <f t="shared" si="67"/>
        <v>16549</v>
      </c>
      <c r="N138" s="84">
        <f t="shared" si="67"/>
        <v>17546</v>
      </c>
      <c r="O138" s="84">
        <f t="shared" si="67"/>
        <v>20702</v>
      </c>
      <c r="P138" s="84">
        <f t="shared" si="67"/>
        <v>24429</v>
      </c>
      <c r="Q138" s="84">
        <f t="shared" si="67"/>
        <v>27235</v>
      </c>
      <c r="R138" s="84">
        <f t="shared" si="67"/>
        <v>30012</v>
      </c>
    </row>
    <row r="139" spans="3:19" x14ac:dyDescent="0.2">
      <c r="G139" s="83" t="s">
        <v>342</v>
      </c>
      <c r="H139" s="84">
        <f t="shared" ref="H139:R140" si="68">H19</f>
        <v>1496.499</v>
      </c>
      <c r="I139" s="84">
        <f t="shared" si="68"/>
        <v>1545.6080000000002</v>
      </c>
      <c r="J139" s="84">
        <f t="shared" si="68"/>
        <v>3026.9259999999999</v>
      </c>
      <c r="K139" s="84">
        <f t="shared" si="68"/>
        <v>949.67100000000005</v>
      </c>
      <c r="L139" s="84">
        <f t="shared" si="68"/>
        <v>355.21</v>
      </c>
      <c r="M139" s="84">
        <f t="shared" si="68"/>
        <v>1151</v>
      </c>
      <c r="N139" s="84">
        <f t="shared" si="68"/>
        <v>400</v>
      </c>
      <c r="O139" s="84">
        <f t="shared" si="68"/>
        <v>436</v>
      </c>
      <c r="P139" s="84">
        <f t="shared" si="68"/>
        <v>364</v>
      </c>
      <c r="Q139" s="84">
        <f t="shared" si="68"/>
        <v>400</v>
      </c>
      <c r="R139" s="84">
        <f t="shared" si="68"/>
        <v>350</v>
      </c>
    </row>
    <row r="140" spans="3:19" x14ac:dyDescent="0.2">
      <c r="G140" s="83" t="s">
        <v>343</v>
      </c>
      <c r="H140" s="84">
        <f t="shared" si="68"/>
        <v>1244.606</v>
      </c>
      <c r="I140" s="84">
        <f t="shared" si="68"/>
        <v>1319.2080000000001</v>
      </c>
      <c r="J140" s="84">
        <f t="shared" si="68"/>
        <v>2879.53</v>
      </c>
      <c r="K140" s="84">
        <f t="shared" si="68"/>
        <v>871.08500000000004</v>
      </c>
      <c r="L140" s="84">
        <f t="shared" si="68"/>
        <v>344.35</v>
      </c>
      <c r="M140" s="84">
        <f t="shared" si="68"/>
        <v>1149</v>
      </c>
      <c r="N140" s="84">
        <f t="shared" si="68"/>
        <v>316</v>
      </c>
      <c r="O140" s="84">
        <f t="shared" si="68"/>
        <v>372</v>
      </c>
      <c r="P140" s="84">
        <f t="shared" si="68"/>
        <v>322</v>
      </c>
      <c r="Q140" s="84">
        <f t="shared" si="68"/>
        <v>381</v>
      </c>
      <c r="R140" s="84">
        <f t="shared" si="68"/>
        <v>344</v>
      </c>
    </row>
    <row r="141" spans="3:19" x14ac:dyDescent="0.2">
      <c r="G141" s="83" t="s">
        <v>344</v>
      </c>
      <c r="H141" s="84">
        <f t="shared" ref="H141:R141" si="69">H24</f>
        <v>1256.114</v>
      </c>
      <c r="I141" s="84">
        <f t="shared" si="69"/>
        <v>670.39800000000002</v>
      </c>
      <c r="J141" s="84">
        <f t="shared" si="69"/>
        <v>886.4</v>
      </c>
      <c r="K141" s="84">
        <f t="shared" si="69"/>
        <v>742.12</v>
      </c>
      <c r="L141" s="84">
        <f t="shared" si="69"/>
        <v>78.584999999999994</v>
      </c>
      <c r="M141" s="84">
        <f t="shared" si="69"/>
        <v>11</v>
      </c>
      <c r="N141" s="84">
        <f t="shared" si="69"/>
        <v>120</v>
      </c>
      <c r="O141" s="84">
        <f t="shared" si="69"/>
        <v>86</v>
      </c>
      <c r="P141" s="84">
        <f t="shared" si="69"/>
        <v>64</v>
      </c>
      <c r="Q141" s="84">
        <f t="shared" si="69"/>
        <v>42</v>
      </c>
      <c r="R141" s="84">
        <f t="shared" si="69"/>
        <v>19</v>
      </c>
    </row>
    <row r="142" spans="3:19" x14ac:dyDescent="0.2">
      <c r="G142" s="83" t="s">
        <v>345</v>
      </c>
      <c r="H142" s="84">
        <f t="shared" ref="H142:R142" si="70">H27</f>
        <v>15133.590999999999</v>
      </c>
      <c r="I142" s="84">
        <f t="shared" si="70"/>
        <v>17158.66</v>
      </c>
      <c r="J142" s="84">
        <f t="shared" si="70"/>
        <v>18993.62</v>
      </c>
      <c r="K142" s="84">
        <f t="shared" si="70"/>
        <v>17694.969000000001</v>
      </c>
      <c r="L142" s="84">
        <f t="shared" si="70"/>
        <v>17139.605</v>
      </c>
      <c r="M142" s="84">
        <f t="shared" si="70"/>
        <v>16702</v>
      </c>
      <c r="N142" s="84">
        <f t="shared" si="70"/>
        <v>17576</v>
      </c>
      <c r="O142" s="84">
        <f t="shared" si="70"/>
        <v>20768</v>
      </c>
      <c r="P142" s="84">
        <f t="shared" si="70"/>
        <v>24552</v>
      </c>
      <c r="Q142" s="84">
        <f t="shared" si="70"/>
        <v>27307</v>
      </c>
      <c r="R142" s="84">
        <f t="shared" si="70"/>
        <v>30168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347" priority="51" stopIfTrue="1" operator="greaterThan">
      <formula>$E$116</formula>
    </cfRule>
    <cfRule type="cellIs" dxfId="346" priority="52" stopIfTrue="1" operator="lessThanOrEqual">
      <formula>$E$116</formula>
    </cfRule>
  </conditionalFormatting>
  <conditionalFormatting sqref="H118:Q118">
    <cfRule type="cellIs" dxfId="345" priority="49" stopIfTrue="1" operator="lessThanOrEqual">
      <formula>$E$118</formula>
    </cfRule>
    <cfRule type="cellIs" dxfId="344" priority="50" stopIfTrue="1" operator="greaterThan">
      <formula>$E$118</formula>
    </cfRule>
  </conditionalFormatting>
  <conditionalFormatting sqref="H99:Q99">
    <cfRule type="cellIs" dxfId="343" priority="47" operator="greaterThan">
      <formula>$E$99</formula>
    </cfRule>
    <cfRule type="cellIs" dxfId="342" priority="48" operator="lessThanOrEqual">
      <formula>$E$99</formula>
    </cfRule>
  </conditionalFormatting>
  <conditionalFormatting sqref="H102:Q102">
    <cfRule type="cellIs" dxfId="341" priority="45" stopIfTrue="1" operator="greaterThanOrEqual">
      <formula>$E$102</formula>
    </cfRule>
    <cfRule type="cellIs" dxfId="340" priority="46" stopIfTrue="1" operator="lessThan">
      <formula>$E$102</formula>
    </cfRule>
  </conditionalFormatting>
  <conditionalFormatting sqref="H104:Q104">
    <cfRule type="cellIs" dxfId="339" priority="43" stopIfTrue="1" operator="lessThan">
      <formula>$E$104</formula>
    </cfRule>
    <cfRule type="cellIs" dxfId="338" priority="44" stopIfTrue="1" operator="greaterThanOrEqual">
      <formula>$E$104</formula>
    </cfRule>
  </conditionalFormatting>
  <conditionalFormatting sqref="H103:Q103">
    <cfRule type="cellIs" dxfId="337" priority="41" stopIfTrue="1" operator="greaterThan">
      <formula>$E$103</formula>
    </cfRule>
    <cfRule type="cellIs" dxfId="336" priority="42" stopIfTrue="1" operator="lessThanOrEqual">
      <formula>$E$103</formula>
    </cfRule>
  </conditionalFormatting>
  <conditionalFormatting sqref="H100:Q100">
    <cfRule type="cellIs" dxfId="335" priority="30" stopIfTrue="1" operator="between">
      <formula>$D$100</formula>
      <formula>$E$100</formula>
    </cfRule>
    <cfRule type="cellIs" dxfId="334" priority="39" stopIfTrue="1" operator="lessThanOrEqual">
      <formula>$D$100</formula>
    </cfRule>
    <cfRule type="cellIs" dxfId="333" priority="40" stopIfTrue="1" operator="greaterThan">
      <formula>$E$100</formula>
    </cfRule>
  </conditionalFormatting>
  <conditionalFormatting sqref="H117:Q117">
    <cfRule type="cellIs" dxfId="332" priority="37" stopIfTrue="1" operator="greaterThan">
      <formula>$E$117</formula>
    </cfRule>
    <cfRule type="cellIs" dxfId="331" priority="38" stopIfTrue="1" operator="lessThanOrEqual">
      <formula>$E$117</formula>
    </cfRule>
  </conditionalFormatting>
  <conditionalFormatting sqref="H107:Q107">
    <cfRule type="cellIs" dxfId="330" priority="35" stopIfTrue="1" operator="greaterThan">
      <formula>$E$107</formula>
    </cfRule>
    <cfRule type="cellIs" dxfId="329" priority="36" stopIfTrue="1" operator="lessThanOrEqual">
      <formula>$E$107</formula>
    </cfRule>
  </conditionalFormatting>
  <conditionalFormatting sqref="H108:Q108">
    <cfRule type="cellIs" dxfId="328" priority="33" stopIfTrue="1" operator="lessThan">
      <formula>$E$108</formula>
    </cfRule>
    <cfRule type="cellIs" dxfId="327" priority="34" stopIfTrue="1" operator="greaterThanOrEqual">
      <formula>$E$108</formula>
    </cfRule>
  </conditionalFormatting>
  <conditionalFormatting sqref="H93:Q93">
    <cfRule type="cellIs" dxfId="326" priority="53" stopIfTrue="1" operator="lessThan">
      <formula>$D$93</formula>
    </cfRule>
    <cfRule type="cellIs" dxfId="325" priority="54" stopIfTrue="1" operator="between">
      <formula>$D$93</formula>
      <formula>$E$93</formula>
    </cfRule>
    <cfRule type="cellIs" dxfId="324" priority="55" stopIfTrue="1" operator="greaterThan">
      <formula>$E$93</formula>
    </cfRule>
  </conditionalFormatting>
  <conditionalFormatting sqref="H114:Q114">
    <cfRule type="cellIs" dxfId="323" priority="56" stopIfTrue="1" operator="lessThan">
      <formula>$E$114</formula>
    </cfRule>
    <cfRule type="cellIs" dxfId="322" priority="57" stopIfTrue="1" operator="between">
      <formula>$D$114</formula>
      <formula>$E$114</formula>
    </cfRule>
    <cfRule type="cellIs" dxfId="321" priority="58" stopIfTrue="1" operator="greaterThanOrEqual">
      <formula>$D$114</formula>
    </cfRule>
  </conditionalFormatting>
  <conditionalFormatting sqref="H90:Q90">
    <cfRule type="cellIs" dxfId="320" priority="31" stopIfTrue="1" operator="lessThan">
      <formula>$E$90</formula>
    </cfRule>
    <cfRule type="cellIs" dxfId="319" priority="32" stopIfTrue="1" operator="greaterThan">
      <formula>$E$90</formula>
    </cfRule>
  </conditionalFormatting>
  <conditionalFormatting sqref="R116">
    <cfRule type="cellIs" dxfId="318" priority="22" stopIfTrue="1" operator="greaterThan">
      <formula>$E$116</formula>
    </cfRule>
    <cfRule type="cellIs" dxfId="317" priority="23" stopIfTrue="1" operator="lessThanOrEqual">
      <formula>$E$116</formula>
    </cfRule>
  </conditionalFormatting>
  <conditionalFormatting sqref="R118">
    <cfRule type="cellIs" dxfId="316" priority="20" stopIfTrue="1" operator="lessThanOrEqual">
      <formula>$E$118</formula>
    </cfRule>
    <cfRule type="cellIs" dxfId="315" priority="21" stopIfTrue="1" operator="greaterThan">
      <formula>$E$118</formula>
    </cfRule>
  </conditionalFormatting>
  <conditionalFormatting sqref="R99">
    <cfRule type="cellIs" dxfId="314" priority="18" operator="greaterThan">
      <formula>$E$99</formula>
    </cfRule>
    <cfRule type="cellIs" dxfId="313" priority="19" operator="lessThanOrEqual">
      <formula>$E$99</formula>
    </cfRule>
  </conditionalFormatting>
  <conditionalFormatting sqref="R102">
    <cfRule type="cellIs" dxfId="312" priority="16" stopIfTrue="1" operator="greaterThanOrEqual">
      <formula>$E$102</formula>
    </cfRule>
    <cfRule type="cellIs" dxfId="311" priority="17" stopIfTrue="1" operator="lessThan">
      <formula>$E$102</formula>
    </cfRule>
  </conditionalFormatting>
  <conditionalFormatting sqref="R104">
    <cfRule type="cellIs" dxfId="310" priority="14" stopIfTrue="1" operator="lessThan">
      <formula>$E$104</formula>
    </cfRule>
    <cfRule type="cellIs" dxfId="309" priority="15" stopIfTrue="1" operator="greaterThanOrEqual">
      <formula>$E$104</formula>
    </cfRule>
  </conditionalFormatting>
  <conditionalFormatting sqref="R103">
    <cfRule type="cellIs" dxfId="308" priority="12" stopIfTrue="1" operator="greaterThan">
      <formula>$E$103</formula>
    </cfRule>
    <cfRule type="cellIs" dxfId="307" priority="13" stopIfTrue="1" operator="lessThanOrEqual">
      <formula>$E$103</formula>
    </cfRule>
  </conditionalFormatting>
  <conditionalFormatting sqref="R100">
    <cfRule type="cellIs" dxfId="306" priority="1" stopIfTrue="1" operator="between">
      <formula>$D$100</formula>
      <formula>$E$100</formula>
    </cfRule>
    <cfRule type="cellIs" dxfId="305" priority="10" stopIfTrue="1" operator="lessThanOrEqual">
      <formula>$D$100</formula>
    </cfRule>
    <cfRule type="cellIs" dxfId="304" priority="11" stopIfTrue="1" operator="greaterThan">
      <formula>$E$100</formula>
    </cfRule>
  </conditionalFormatting>
  <conditionalFormatting sqref="R117">
    <cfRule type="cellIs" dxfId="303" priority="8" stopIfTrue="1" operator="greaterThan">
      <formula>$E$117</formula>
    </cfRule>
    <cfRule type="cellIs" dxfId="302" priority="9" stopIfTrue="1" operator="lessThanOrEqual">
      <formula>$E$117</formula>
    </cfRule>
  </conditionalFormatting>
  <conditionalFormatting sqref="R107">
    <cfRule type="cellIs" dxfId="301" priority="6" stopIfTrue="1" operator="greaterThan">
      <formula>$E$107</formula>
    </cfRule>
    <cfRule type="cellIs" dxfId="300" priority="7" stopIfTrue="1" operator="lessThanOrEqual">
      <formula>$E$107</formula>
    </cfRule>
  </conditionalFormatting>
  <conditionalFormatting sqref="R108">
    <cfRule type="cellIs" dxfId="299" priority="4" stopIfTrue="1" operator="lessThan">
      <formula>$E$108</formula>
    </cfRule>
    <cfRule type="cellIs" dxfId="298" priority="5" stopIfTrue="1" operator="greaterThanOrEqual">
      <formula>$E$108</formula>
    </cfRule>
  </conditionalFormatting>
  <conditionalFormatting sqref="R93">
    <cfRule type="cellIs" dxfId="297" priority="24" stopIfTrue="1" operator="lessThan">
      <formula>$D$93</formula>
    </cfRule>
    <cfRule type="cellIs" dxfId="296" priority="25" stopIfTrue="1" operator="between">
      <formula>$D$93</formula>
      <formula>$E$93</formula>
    </cfRule>
    <cfRule type="cellIs" dxfId="295" priority="26" stopIfTrue="1" operator="greaterThan">
      <formula>$E$93</formula>
    </cfRule>
  </conditionalFormatting>
  <conditionalFormatting sqref="R114">
    <cfRule type="cellIs" dxfId="294" priority="27" stopIfTrue="1" operator="lessThan">
      <formula>$E$114</formula>
    </cfRule>
    <cfRule type="cellIs" dxfId="293" priority="28" stopIfTrue="1" operator="between">
      <formula>$D$114</formula>
      <formula>$E$114</formula>
    </cfRule>
    <cfRule type="cellIs" dxfId="292" priority="29" stopIfTrue="1" operator="greaterThanOrEqual">
      <formula>$D$114</formula>
    </cfRule>
  </conditionalFormatting>
  <conditionalFormatting sqref="R90">
    <cfRule type="cellIs" dxfId="291" priority="2" stopIfTrue="1" operator="lessThan">
      <formula>$E$90</formula>
    </cfRule>
    <cfRule type="cellIs" dxfId="290" priority="3" stopIfTrue="1" operator="greaterThan">
      <formula>$E$90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33.5703125" style="48" customWidth="1"/>
    <col min="8" max="8" width="8.7109375" style="4" customWidth="1"/>
    <col min="9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33.5703125" style="4" customWidth="1"/>
    <col min="264" max="264" width="8.7109375" style="4" customWidth="1"/>
    <col min="265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33.5703125" style="4" customWidth="1"/>
    <col min="520" max="520" width="8.7109375" style="4" customWidth="1"/>
    <col min="521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33.5703125" style="4" customWidth="1"/>
    <col min="776" max="776" width="8.7109375" style="4" customWidth="1"/>
    <col min="777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33.5703125" style="4" customWidth="1"/>
    <col min="1032" max="1032" width="8.7109375" style="4" customWidth="1"/>
    <col min="1033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33.5703125" style="4" customWidth="1"/>
    <col min="1288" max="1288" width="8.7109375" style="4" customWidth="1"/>
    <col min="1289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33.5703125" style="4" customWidth="1"/>
    <col min="1544" max="1544" width="8.7109375" style="4" customWidth="1"/>
    <col min="1545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33.5703125" style="4" customWidth="1"/>
    <col min="1800" max="1800" width="8.7109375" style="4" customWidth="1"/>
    <col min="1801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33.5703125" style="4" customWidth="1"/>
    <col min="2056" max="2056" width="8.7109375" style="4" customWidth="1"/>
    <col min="2057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33.5703125" style="4" customWidth="1"/>
    <col min="2312" max="2312" width="8.7109375" style="4" customWidth="1"/>
    <col min="2313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33.5703125" style="4" customWidth="1"/>
    <col min="2568" max="2568" width="8.7109375" style="4" customWidth="1"/>
    <col min="2569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33.5703125" style="4" customWidth="1"/>
    <col min="2824" max="2824" width="8.7109375" style="4" customWidth="1"/>
    <col min="2825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33.5703125" style="4" customWidth="1"/>
    <col min="3080" max="3080" width="8.7109375" style="4" customWidth="1"/>
    <col min="3081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33.5703125" style="4" customWidth="1"/>
    <col min="3336" max="3336" width="8.7109375" style="4" customWidth="1"/>
    <col min="3337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33.5703125" style="4" customWidth="1"/>
    <col min="3592" max="3592" width="8.7109375" style="4" customWidth="1"/>
    <col min="3593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33.5703125" style="4" customWidth="1"/>
    <col min="3848" max="3848" width="8.7109375" style="4" customWidth="1"/>
    <col min="3849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33.5703125" style="4" customWidth="1"/>
    <col min="4104" max="4104" width="8.7109375" style="4" customWidth="1"/>
    <col min="4105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33.5703125" style="4" customWidth="1"/>
    <col min="4360" max="4360" width="8.7109375" style="4" customWidth="1"/>
    <col min="4361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33.5703125" style="4" customWidth="1"/>
    <col min="4616" max="4616" width="8.7109375" style="4" customWidth="1"/>
    <col min="4617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33.5703125" style="4" customWidth="1"/>
    <col min="4872" max="4872" width="8.7109375" style="4" customWidth="1"/>
    <col min="4873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33.5703125" style="4" customWidth="1"/>
    <col min="5128" max="5128" width="8.7109375" style="4" customWidth="1"/>
    <col min="5129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33.5703125" style="4" customWidth="1"/>
    <col min="5384" max="5384" width="8.7109375" style="4" customWidth="1"/>
    <col min="5385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33.5703125" style="4" customWidth="1"/>
    <col min="5640" max="5640" width="8.7109375" style="4" customWidth="1"/>
    <col min="5641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33.5703125" style="4" customWidth="1"/>
    <col min="5896" max="5896" width="8.7109375" style="4" customWidth="1"/>
    <col min="5897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33.5703125" style="4" customWidth="1"/>
    <col min="6152" max="6152" width="8.7109375" style="4" customWidth="1"/>
    <col min="6153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33.5703125" style="4" customWidth="1"/>
    <col min="6408" max="6408" width="8.7109375" style="4" customWidth="1"/>
    <col min="6409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33.5703125" style="4" customWidth="1"/>
    <col min="6664" max="6664" width="8.7109375" style="4" customWidth="1"/>
    <col min="6665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33.5703125" style="4" customWidth="1"/>
    <col min="6920" max="6920" width="8.7109375" style="4" customWidth="1"/>
    <col min="6921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33.5703125" style="4" customWidth="1"/>
    <col min="7176" max="7176" width="8.7109375" style="4" customWidth="1"/>
    <col min="7177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33.5703125" style="4" customWidth="1"/>
    <col min="7432" max="7432" width="8.7109375" style="4" customWidth="1"/>
    <col min="7433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33.5703125" style="4" customWidth="1"/>
    <col min="7688" max="7688" width="8.7109375" style="4" customWidth="1"/>
    <col min="7689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33.5703125" style="4" customWidth="1"/>
    <col min="7944" max="7944" width="8.7109375" style="4" customWidth="1"/>
    <col min="7945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33.5703125" style="4" customWidth="1"/>
    <col min="8200" max="8200" width="8.7109375" style="4" customWidth="1"/>
    <col min="8201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33.5703125" style="4" customWidth="1"/>
    <col min="8456" max="8456" width="8.7109375" style="4" customWidth="1"/>
    <col min="8457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33.5703125" style="4" customWidth="1"/>
    <col min="8712" max="8712" width="8.7109375" style="4" customWidth="1"/>
    <col min="8713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33.5703125" style="4" customWidth="1"/>
    <col min="8968" max="8968" width="8.7109375" style="4" customWidth="1"/>
    <col min="8969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33.5703125" style="4" customWidth="1"/>
    <col min="9224" max="9224" width="8.7109375" style="4" customWidth="1"/>
    <col min="9225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33.5703125" style="4" customWidth="1"/>
    <col min="9480" max="9480" width="8.7109375" style="4" customWidth="1"/>
    <col min="9481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33.5703125" style="4" customWidth="1"/>
    <col min="9736" max="9736" width="8.7109375" style="4" customWidth="1"/>
    <col min="9737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33.5703125" style="4" customWidth="1"/>
    <col min="9992" max="9992" width="8.7109375" style="4" customWidth="1"/>
    <col min="9993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33.5703125" style="4" customWidth="1"/>
    <col min="10248" max="10248" width="8.7109375" style="4" customWidth="1"/>
    <col min="10249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33.5703125" style="4" customWidth="1"/>
    <col min="10504" max="10504" width="8.7109375" style="4" customWidth="1"/>
    <col min="10505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33.5703125" style="4" customWidth="1"/>
    <col min="10760" max="10760" width="8.7109375" style="4" customWidth="1"/>
    <col min="10761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33.5703125" style="4" customWidth="1"/>
    <col min="11016" max="11016" width="8.7109375" style="4" customWidth="1"/>
    <col min="11017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33.5703125" style="4" customWidth="1"/>
    <col min="11272" max="11272" width="8.7109375" style="4" customWidth="1"/>
    <col min="11273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33.5703125" style="4" customWidth="1"/>
    <col min="11528" max="11528" width="8.7109375" style="4" customWidth="1"/>
    <col min="11529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33.5703125" style="4" customWidth="1"/>
    <col min="11784" max="11784" width="8.7109375" style="4" customWidth="1"/>
    <col min="11785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33.5703125" style="4" customWidth="1"/>
    <col min="12040" max="12040" width="8.7109375" style="4" customWidth="1"/>
    <col min="12041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33.5703125" style="4" customWidth="1"/>
    <col min="12296" max="12296" width="8.7109375" style="4" customWidth="1"/>
    <col min="12297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33.5703125" style="4" customWidth="1"/>
    <col min="12552" max="12552" width="8.7109375" style="4" customWidth="1"/>
    <col min="12553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33.5703125" style="4" customWidth="1"/>
    <col min="12808" max="12808" width="8.7109375" style="4" customWidth="1"/>
    <col min="12809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33.5703125" style="4" customWidth="1"/>
    <col min="13064" max="13064" width="8.7109375" style="4" customWidth="1"/>
    <col min="13065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33.5703125" style="4" customWidth="1"/>
    <col min="13320" max="13320" width="8.7109375" style="4" customWidth="1"/>
    <col min="13321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33.5703125" style="4" customWidth="1"/>
    <col min="13576" max="13576" width="8.7109375" style="4" customWidth="1"/>
    <col min="13577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33.5703125" style="4" customWidth="1"/>
    <col min="13832" max="13832" width="8.7109375" style="4" customWidth="1"/>
    <col min="13833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33.5703125" style="4" customWidth="1"/>
    <col min="14088" max="14088" width="8.7109375" style="4" customWidth="1"/>
    <col min="14089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33.5703125" style="4" customWidth="1"/>
    <col min="14344" max="14344" width="8.7109375" style="4" customWidth="1"/>
    <col min="14345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33.5703125" style="4" customWidth="1"/>
    <col min="14600" max="14600" width="8.7109375" style="4" customWidth="1"/>
    <col min="14601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33.5703125" style="4" customWidth="1"/>
    <col min="14856" max="14856" width="8.7109375" style="4" customWidth="1"/>
    <col min="14857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33.5703125" style="4" customWidth="1"/>
    <col min="15112" max="15112" width="8.7109375" style="4" customWidth="1"/>
    <col min="15113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33.5703125" style="4" customWidth="1"/>
    <col min="15368" max="15368" width="8.7109375" style="4" customWidth="1"/>
    <col min="15369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33.5703125" style="4" customWidth="1"/>
    <col min="15624" max="15624" width="8.7109375" style="4" customWidth="1"/>
    <col min="15625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33.5703125" style="4" customWidth="1"/>
    <col min="15880" max="15880" width="8.7109375" style="4" customWidth="1"/>
    <col min="15881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33.5703125" style="4" customWidth="1"/>
    <col min="16136" max="16136" width="8.7109375" style="4" customWidth="1"/>
    <col min="16137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533" t="s">
        <v>458</v>
      </c>
      <c r="H2" s="534" t="s">
        <v>459</v>
      </c>
      <c r="I2" s="535"/>
      <c r="J2" s="536"/>
      <c r="K2" s="1316" t="s">
        <v>6</v>
      </c>
      <c r="L2" s="1317"/>
      <c r="M2" s="1318"/>
      <c r="N2" s="1319"/>
      <c r="O2" s="1319"/>
      <c r="P2" s="1319"/>
      <c r="Q2" s="1319"/>
      <c r="R2" s="1320"/>
    </row>
    <row r="3" spans="1:18" x14ac:dyDescent="0.2">
      <c r="A3" s="1"/>
      <c r="B3" s="10"/>
      <c r="C3" s="3"/>
      <c r="D3" s="3"/>
      <c r="E3" s="1"/>
      <c r="F3" s="1"/>
      <c r="G3" s="537" t="s">
        <v>7</v>
      </c>
      <c r="H3" s="538">
        <v>40908</v>
      </c>
      <c r="I3" s="538">
        <v>41274</v>
      </c>
      <c r="J3" s="538">
        <v>41639</v>
      </c>
      <c r="K3" s="538">
        <v>42004</v>
      </c>
      <c r="L3" s="538">
        <v>42369</v>
      </c>
      <c r="M3" s="538">
        <v>42735</v>
      </c>
      <c r="N3" s="538">
        <v>43100</v>
      </c>
      <c r="O3" s="538">
        <v>43465</v>
      </c>
      <c r="P3" s="538">
        <v>43830</v>
      </c>
      <c r="Q3" s="538">
        <v>44196</v>
      </c>
      <c r="R3" s="538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539" t="s">
        <v>9</v>
      </c>
      <c r="H4" s="540">
        <f t="shared" ref="H4:R4" si="0">H5+H10</f>
        <v>4731.0120000000006</v>
      </c>
      <c r="I4" s="540">
        <f t="shared" si="0"/>
        <v>5934.6490000000003</v>
      </c>
      <c r="J4" s="540">
        <f t="shared" si="0"/>
        <v>5657.4779999999992</v>
      </c>
      <c r="K4" s="540">
        <f t="shared" si="0"/>
        <v>5702.43</v>
      </c>
      <c r="L4" s="540">
        <f t="shared" si="0"/>
        <v>14154.895</v>
      </c>
      <c r="M4" s="540">
        <f t="shared" si="0"/>
        <v>17543</v>
      </c>
      <c r="N4" s="540">
        <f t="shared" si="0"/>
        <v>13294</v>
      </c>
      <c r="O4" s="540">
        <f t="shared" si="0"/>
        <v>12954</v>
      </c>
      <c r="P4" s="540">
        <f t="shared" si="0"/>
        <v>12591</v>
      </c>
      <c r="Q4" s="540">
        <f t="shared" si="0"/>
        <v>12236</v>
      </c>
      <c r="R4" s="540">
        <f t="shared" si="0"/>
        <v>11882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540">
        <f t="shared" ref="H5:Q5" si="1">SUM(H6:H9)</f>
        <v>113.587</v>
      </c>
      <c r="I5" s="540">
        <f t="shared" si="1"/>
        <v>239.98699999999999</v>
      </c>
      <c r="J5" s="540">
        <f t="shared" si="1"/>
        <v>140.68099999999998</v>
      </c>
      <c r="K5" s="540">
        <f t="shared" si="1"/>
        <v>483.32100000000003</v>
      </c>
      <c r="L5" s="540">
        <f t="shared" si="1"/>
        <v>8960.8269999999993</v>
      </c>
      <c r="M5" s="540">
        <f t="shared" si="1"/>
        <v>8473</v>
      </c>
      <c r="N5" s="540">
        <f t="shared" si="1"/>
        <v>194</v>
      </c>
      <c r="O5" s="540">
        <f t="shared" si="1"/>
        <v>188</v>
      </c>
      <c r="P5" s="540">
        <f t="shared" si="1"/>
        <v>215</v>
      </c>
      <c r="Q5" s="540">
        <f t="shared" si="1"/>
        <v>223</v>
      </c>
      <c r="R5" s="540">
        <f>SUM(R6:R9)</f>
        <v>242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541">
        <v>48.052999999999997</v>
      </c>
      <c r="I6" s="541">
        <v>161.45500000000001</v>
      </c>
      <c r="J6" s="541">
        <v>49.098999999999997</v>
      </c>
      <c r="K6" s="541">
        <v>372.67700000000002</v>
      </c>
      <c r="L6" s="541">
        <v>8897.2939999999999</v>
      </c>
      <c r="M6" s="541">
        <v>8209</v>
      </c>
      <c r="N6" s="541">
        <v>100</v>
      </c>
      <c r="O6" s="541">
        <v>100</v>
      </c>
      <c r="P6" s="541">
        <v>110</v>
      </c>
      <c r="Q6" s="541">
        <v>110</v>
      </c>
      <c r="R6" s="541">
        <v>122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541">
        <v>57.805</v>
      </c>
      <c r="I7" s="541">
        <v>68.073999999999998</v>
      </c>
      <c r="J7" s="541">
        <v>80.536000000000001</v>
      </c>
      <c r="K7" s="541">
        <v>101.557</v>
      </c>
      <c r="L7" s="541">
        <v>52.66</v>
      </c>
      <c r="M7" s="541">
        <v>252</v>
      </c>
      <c r="N7" s="541">
        <v>80</v>
      </c>
      <c r="O7" s="541">
        <v>75</v>
      </c>
      <c r="P7" s="541">
        <v>90</v>
      </c>
      <c r="Q7" s="541">
        <v>95</v>
      </c>
      <c r="R7" s="541">
        <v>100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541">
        <v>0</v>
      </c>
      <c r="I8" s="541">
        <v>0</v>
      </c>
      <c r="J8" s="541">
        <v>0</v>
      </c>
      <c r="K8" s="541">
        <v>0</v>
      </c>
      <c r="L8" s="541">
        <v>0</v>
      </c>
      <c r="M8" s="541">
        <v>0</v>
      </c>
      <c r="N8" s="541">
        <v>0</v>
      </c>
      <c r="O8" s="541">
        <v>0</v>
      </c>
      <c r="P8" s="541">
        <v>0</v>
      </c>
      <c r="Q8" s="541">
        <v>0</v>
      </c>
      <c r="R8" s="541"/>
    </row>
    <row r="9" spans="1:18" x14ac:dyDescent="0.2">
      <c r="B9" s="2" t="s">
        <v>22</v>
      </c>
      <c r="C9" s="19">
        <v>108</v>
      </c>
      <c r="E9" s="22"/>
      <c r="G9" s="18" t="s">
        <v>23</v>
      </c>
      <c r="H9" s="541">
        <v>7.7290000000000001</v>
      </c>
      <c r="I9" s="541">
        <v>10.458</v>
      </c>
      <c r="J9" s="541">
        <v>11.045999999999999</v>
      </c>
      <c r="K9" s="541">
        <v>9.0869999999999997</v>
      </c>
      <c r="L9" s="541">
        <v>10.872999999999999</v>
      </c>
      <c r="M9" s="541">
        <v>12</v>
      </c>
      <c r="N9" s="541">
        <v>14</v>
      </c>
      <c r="O9" s="541">
        <v>13</v>
      </c>
      <c r="P9" s="541">
        <v>15</v>
      </c>
      <c r="Q9" s="541">
        <v>18</v>
      </c>
      <c r="R9" s="541">
        <v>20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540">
        <f>SUM(H11:H16)</f>
        <v>4617.4250000000002</v>
      </c>
      <c r="I10" s="540">
        <f t="shared" ref="I10:R10" si="2">SUM(I11:I16)</f>
        <v>5694.6620000000003</v>
      </c>
      <c r="J10" s="540">
        <f t="shared" si="2"/>
        <v>5516.7969999999996</v>
      </c>
      <c r="K10" s="540">
        <f t="shared" si="2"/>
        <v>5219.1090000000004</v>
      </c>
      <c r="L10" s="540">
        <f t="shared" si="2"/>
        <v>5194.0680000000002</v>
      </c>
      <c r="M10" s="540">
        <f t="shared" si="2"/>
        <v>9070</v>
      </c>
      <c r="N10" s="540">
        <f t="shared" si="2"/>
        <v>13100</v>
      </c>
      <c r="O10" s="540">
        <f t="shared" si="2"/>
        <v>12766</v>
      </c>
      <c r="P10" s="540">
        <f t="shared" si="2"/>
        <v>12376</v>
      </c>
      <c r="Q10" s="540">
        <f t="shared" si="2"/>
        <v>12013</v>
      </c>
      <c r="R10" s="540">
        <f t="shared" si="2"/>
        <v>11640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541">
        <v>0</v>
      </c>
      <c r="I11" s="541">
        <v>0</v>
      </c>
      <c r="J11" s="541">
        <v>0</v>
      </c>
      <c r="K11" s="541">
        <v>0</v>
      </c>
      <c r="L11" s="541">
        <v>0</v>
      </c>
      <c r="M11" s="541">
        <v>0</v>
      </c>
      <c r="N11" s="541">
        <v>0</v>
      </c>
      <c r="O11" s="541">
        <v>0</v>
      </c>
      <c r="P11" s="541">
        <v>0</v>
      </c>
      <c r="Q11" s="541">
        <v>0</v>
      </c>
      <c r="R11" s="541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541">
        <v>0</v>
      </c>
      <c r="I12" s="541">
        <v>0</v>
      </c>
      <c r="J12" s="541">
        <v>0</v>
      </c>
      <c r="K12" s="541">
        <v>0</v>
      </c>
      <c r="L12" s="541">
        <v>0</v>
      </c>
      <c r="M12" s="541">
        <v>0</v>
      </c>
      <c r="N12" s="541">
        <v>0</v>
      </c>
      <c r="O12" s="541">
        <v>0</v>
      </c>
      <c r="P12" s="541">
        <v>0</v>
      </c>
      <c r="Q12" s="541">
        <v>0</v>
      </c>
      <c r="R12" s="541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541">
        <v>0</v>
      </c>
      <c r="I13" s="541">
        <v>0</v>
      </c>
      <c r="J13" s="541">
        <v>0</v>
      </c>
      <c r="K13" s="541">
        <v>0</v>
      </c>
      <c r="L13" s="541">
        <v>0</v>
      </c>
      <c r="M13" s="541">
        <v>0</v>
      </c>
      <c r="N13" s="541">
        <v>0</v>
      </c>
      <c r="O13" s="541">
        <v>0</v>
      </c>
      <c r="P13" s="541">
        <v>0</v>
      </c>
      <c r="Q13" s="541">
        <v>0</v>
      </c>
      <c r="R13" s="541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541">
        <v>0</v>
      </c>
      <c r="I14" s="541">
        <v>0</v>
      </c>
      <c r="J14" s="541">
        <v>0</v>
      </c>
      <c r="K14" s="541">
        <v>0</v>
      </c>
      <c r="L14" s="541">
        <v>0</v>
      </c>
      <c r="M14" s="541">
        <v>0</v>
      </c>
      <c r="N14" s="541">
        <v>0</v>
      </c>
      <c r="O14" s="541">
        <v>0</v>
      </c>
      <c r="P14" s="541">
        <v>0</v>
      </c>
      <c r="Q14" s="541">
        <v>0</v>
      </c>
      <c r="R14" s="541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541">
        <v>4617.4250000000002</v>
      </c>
      <c r="I15" s="541">
        <v>5694.6620000000003</v>
      </c>
      <c r="J15" s="541">
        <v>5516.7969999999996</v>
      </c>
      <c r="K15" s="541">
        <v>5219.1090000000004</v>
      </c>
      <c r="L15" s="541">
        <v>5194.0680000000002</v>
      </c>
      <c r="M15" s="541">
        <v>9070</v>
      </c>
      <c r="N15" s="541">
        <v>13100</v>
      </c>
      <c r="O15" s="541">
        <v>12766</v>
      </c>
      <c r="P15" s="541">
        <v>12376</v>
      </c>
      <c r="Q15" s="541">
        <v>12013</v>
      </c>
      <c r="R15" s="541">
        <v>11640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541">
        <v>0</v>
      </c>
      <c r="I16" s="541">
        <v>0</v>
      </c>
      <c r="J16" s="541">
        <v>0</v>
      </c>
      <c r="K16" s="541">
        <v>0</v>
      </c>
      <c r="L16" s="541">
        <v>0</v>
      </c>
      <c r="M16" s="541">
        <v>0</v>
      </c>
      <c r="N16" s="541">
        <v>0</v>
      </c>
      <c r="O16" s="541">
        <v>0</v>
      </c>
      <c r="P16" s="541">
        <v>0</v>
      </c>
      <c r="Q16" s="541">
        <v>0</v>
      </c>
      <c r="R16" s="541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542">
        <v>0</v>
      </c>
      <c r="I17" s="542">
        <v>0</v>
      </c>
      <c r="J17" s="542">
        <v>0</v>
      </c>
      <c r="K17" s="542">
        <v>0</v>
      </c>
      <c r="L17" s="542">
        <v>0</v>
      </c>
      <c r="M17" s="542">
        <v>0</v>
      </c>
      <c r="N17" s="542">
        <v>0</v>
      </c>
      <c r="O17" s="542">
        <v>0</v>
      </c>
      <c r="P17" s="542">
        <v>0</v>
      </c>
      <c r="Q17" s="542">
        <v>0</v>
      </c>
      <c r="R17" s="542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540">
        <f>H19+H27</f>
        <v>4731.0129999999999</v>
      </c>
      <c r="I18" s="540">
        <f t="shared" ref="I18:R18" si="3">I19+I27</f>
        <v>5934.6489999999994</v>
      </c>
      <c r="J18" s="540">
        <f t="shared" si="3"/>
        <v>5657.4779999999992</v>
      </c>
      <c r="K18" s="540">
        <f t="shared" si="3"/>
        <v>5702.4310000000005</v>
      </c>
      <c r="L18" s="540">
        <f t="shared" si="3"/>
        <v>14154.896000000001</v>
      </c>
      <c r="M18" s="540">
        <f t="shared" si="3"/>
        <v>17543</v>
      </c>
      <c r="N18" s="540">
        <f t="shared" si="3"/>
        <v>13294</v>
      </c>
      <c r="O18" s="540">
        <f t="shared" si="3"/>
        <v>12954</v>
      </c>
      <c r="P18" s="540">
        <f t="shared" si="3"/>
        <v>12591</v>
      </c>
      <c r="Q18" s="540">
        <f t="shared" si="3"/>
        <v>12236</v>
      </c>
      <c r="R18" s="540">
        <f t="shared" si="3"/>
        <v>11882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540">
        <f>SUM(H21:H26)</f>
        <v>105.89299999999999</v>
      </c>
      <c r="I19" s="540">
        <f t="shared" ref="I19:R19" si="4">SUM(I21:I26)</f>
        <v>130.69499999999999</v>
      </c>
      <c r="J19" s="540">
        <f t="shared" si="4"/>
        <v>105.477</v>
      </c>
      <c r="K19" s="540">
        <f t="shared" si="4"/>
        <v>137.779</v>
      </c>
      <c r="L19" s="540">
        <f t="shared" si="4"/>
        <v>8859.1560000000009</v>
      </c>
      <c r="M19" s="540">
        <f t="shared" si="4"/>
        <v>8252</v>
      </c>
      <c r="N19" s="540">
        <f t="shared" si="4"/>
        <v>122</v>
      </c>
      <c r="O19" s="540">
        <f t="shared" si="4"/>
        <v>135</v>
      </c>
      <c r="P19" s="540">
        <f t="shared" si="4"/>
        <v>135</v>
      </c>
      <c r="Q19" s="540">
        <f t="shared" si="4"/>
        <v>135</v>
      </c>
      <c r="R19" s="540">
        <f t="shared" si="4"/>
        <v>135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543">
        <v>105.893</v>
      </c>
      <c r="I20" s="543">
        <v>130.69499999999999</v>
      </c>
      <c r="J20" s="543">
        <v>105.477</v>
      </c>
      <c r="K20" s="543">
        <v>137.779</v>
      </c>
      <c r="L20" s="543">
        <v>8859.1560000000009</v>
      </c>
      <c r="M20" s="543">
        <v>8252</v>
      </c>
      <c r="N20" s="543">
        <v>0</v>
      </c>
      <c r="O20" s="543">
        <v>0</v>
      </c>
      <c r="P20" s="543">
        <v>0</v>
      </c>
      <c r="Q20" s="543">
        <v>0</v>
      </c>
      <c r="R20" s="543">
        <v>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541">
        <f>35.098+2.379+67.313</f>
        <v>104.78999999999999</v>
      </c>
      <c r="I21" s="541">
        <v>130.69499999999999</v>
      </c>
      <c r="J21" s="541">
        <v>105.477</v>
      </c>
      <c r="K21" s="541">
        <v>137.779</v>
      </c>
      <c r="L21" s="541">
        <v>8859.1560000000009</v>
      </c>
      <c r="M21" s="541">
        <v>8252</v>
      </c>
      <c r="N21" s="541">
        <v>122</v>
      </c>
      <c r="O21" s="541">
        <v>135</v>
      </c>
      <c r="P21" s="541">
        <v>135</v>
      </c>
      <c r="Q21" s="541">
        <v>135</v>
      </c>
      <c r="R21" s="541">
        <v>135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541">
        <v>0</v>
      </c>
      <c r="I22" s="541">
        <v>0</v>
      </c>
      <c r="J22" s="541">
        <v>0</v>
      </c>
      <c r="K22" s="541">
        <v>0</v>
      </c>
      <c r="L22" s="541">
        <v>0</v>
      </c>
      <c r="M22" s="541">
        <v>0</v>
      </c>
      <c r="N22" s="541">
        <v>0</v>
      </c>
      <c r="O22" s="541">
        <v>0</v>
      </c>
      <c r="P22" s="541">
        <v>0</v>
      </c>
      <c r="Q22" s="541">
        <v>0</v>
      </c>
      <c r="R22" s="541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541">
        <v>0</v>
      </c>
      <c r="I23" s="541">
        <v>0</v>
      </c>
      <c r="J23" s="541">
        <v>0</v>
      </c>
      <c r="K23" s="541">
        <v>0</v>
      </c>
      <c r="L23" s="541">
        <v>0</v>
      </c>
      <c r="M23" s="541">
        <v>0</v>
      </c>
      <c r="N23" s="541">
        <v>0</v>
      </c>
      <c r="O23" s="541">
        <v>0</v>
      </c>
      <c r="P23" s="541">
        <v>0</v>
      </c>
      <c r="Q23" s="541">
        <v>0</v>
      </c>
      <c r="R23" s="541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541">
        <v>1.103</v>
      </c>
      <c r="I24" s="541">
        <v>0</v>
      </c>
      <c r="J24" s="541">
        <v>0</v>
      </c>
      <c r="K24" s="541">
        <v>0</v>
      </c>
      <c r="L24" s="541">
        <v>0</v>
      </c>
      <c r="M24" s="541">
        <v>0</v>
      </c>
      <c r="N24" s="541">
        <v>0</v>
      </c>
      <c r="O24" s="541">
        <v>0</v>
      </c>
      <c r="P24" s="541">
        <v>0</v>
      </c>
      <c r="Q24" s="541">
        <v>0</v>
      </c>
      <c r="R24" s="541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541">
        <v>0</v>
      </c>
      <c r="I25" s="541">
        <v>0</v>
      </c>
      <c r="J25" s="541">
        <v>0</v>
      </c>
      <c r="K25" s="541">
        <v>0</v>
      </c>
      <c r="L25" s="541">
        <v>0</v>
      </c>
      <c r="M25" s="541">
        <v>0</v>
      </c>
      <c r="N25" s="541">
        <v>0</v>
      </c>
      <c r="O25" s="541">
        <v>0</v>
      </c>
      <c r="P25" s="541">
        <v>0</v>
      </c>
      <c r="Q25" s="541">
        <v>0</v>
      </c>
      <c r="R25" s="541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541">
        <v>0</v>
      </c>
      <c r="I26" s="541">
        <v>0</v>
      </c>
      <c r="J26" s="541">
        <v>0</v>
      </c>
      <c r="K26" s="541">
        <v>0</v>
      </c>
      <c r="L26" s="541">
        <v>0</v>
      </c>
      <c r="M26" s="541">
        <v>0</v>
      </c>
      <c r="N26" s="541">
        <v>0</v>
      </c>
      <c r="O26" s="541">
        <v>0</v>
      </c>
      <c r="P26" s="541">
        <v>0</v>
      </c>
      <c r="Q26" s="541">
        <v>0</v>
      </c>
      <c r="R26" s="541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540">
        <f>SUM(H28:H30)</f>
        <v>4625.12</v>
      </c>
      <c r="I27" s="540">
        <f t="shared" ref="I27:R27" si="5">SUM(I28:I30)</f>
        <v>5803.9539999999997</v>
      </c>
      <c r="J27" s="540">
        <f t="shared" si="5"/>
        <v>5552.0009999999993</v>
      </c>
      <c r="K27" s="540">
        <f t="shared" si="5"/>
        <v>5564.652</v>
      </c>
      <c r="L27" s="540">
        <f t="shared" si="5"/>
        <v>5295.74</v>
      </c>
      <c r="M27" s="540">
        <f t="shared" si="5"/>
        <v>9291</v>
      </c>
      <c r="N27" s="540">
        <f t="shared" si="5"/>
        <v>13172</v>
      </c>
      <c r="O27" s="540">
        <f t="shared" si="5"/>
        <v>12819</v>
      </c>
      <c r="P27" s="540">
        <f t="shared" si="5"/>
        <v>12456</v>
      </c>
      <c r="Q27" s="540">
        <f t="shared" si="5"/>
        <v>12101</v>
      </c>
      <c r="R27" s="540">
        <f t="shared" si="5"/>
        <v>11747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541">
        <v>4952.5219999999999</v>
      </c>
      <c r="I28" s="541">
        <v>4952.5219999999999</v>
      </c>
      <c r="J28" s="541">
        <v>4952.5219999999999</v>
      </c>
      <c r="K28" s="541">
        <v>4952.5219999999999</v>
      </c>
      <c r="L28" s="541">
        <v>4952.5219999999999</v>
      </c>
      <c r="M28" s="541">
        <v>4953</v>
      </c>
      <c r="N28" s="541">
        <v>4953</v>
      </c>
      <c r="O28" s="541">
        <v>4953</v>
      </c>
      <c r="P28" s="541">
        <v>4953</v>
      </c>
      <c r="Q28" s="541">
        <v>4953</v>
      </c>
      <c r="R28" s="541">
        <v>4953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541">
        <v>2.411</v>
      </c>
      <c r="I29" s="541">
        <f>H29+H30</f>
        <v>-327.40199999999999</v>
      </c>
      <c r="J29" s="541">
        <f>I29+I30</f>
        <v>851.43200000000002</v>
      </c>
      <c r="K29" s="541">
        <f>J29+J30</f>
        <v>599.47900000000004</v>
      </c>
      <c r="L29" s="541">
        <f>K29+K30</f>
        <v>612.13</v>
      </c>
      <c r="M29" s="541">
        <v>343</v>
      </c>
      <c r="N29" s="541">
        <v>4338</v>
      </c>
      <c r="O29" s="541">
        <v>8219</v>
      </c>
      <c r="P29" s="541">
        <v>7866</v>
      </c>
      <c r="Q29" s="541">
        <v>7503</v>
      </c>
      <c r="R29" s="541">
        <v>7148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541">
        <v>-329.81299999999999</v>
      </c>
      <c r="I30" s="541">
        <v>1178.8340000000001</v>
      </c>
      <c r="J30" s="541">
        <v>-251.953</v>
      </c>
      <c r="K30" s="541">
        <v>12.651</v>
      </c>
      <c r="L30" s="541">
        <v>-268.91199999999998</v>
      </c>
      <c r="M30" s="541">
        <v>3995</v>
      </c>
      <c r="N30" s="541">
        <v>3881</v>
      </c>
      <c r="O30" s="541">
        <v>-353</v>
      </c>
      <c r="P30" s="541">
        <v>-363</v>
      </c>
      <c r="Q30" s="541">
        <v>-355</v>
      </c>
      <c r="R30" s="541">
        <v>-354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544">
        <f t="shared" ref="H31:R31" si="6">H4-H18</f>
        <v>-9.9999999929423211E-4</v>
      </c>
      <c r="I31" s="544">
        <f t="shared" si="6"/>
        <v>0</v>
      </c>
      <c r="J31" s="544">
        <f t="shared" si="6"/>
        <v>0</v>
      </c>
      <c r="K31" s="544">
        <f t="shared" si="6"/>
        <v>-1.0000000002037268E-3</v>
      </c>
      <c r="L31" s="544">
        <f t="shared" si="6"/>
        <v>-1.0000000002037268E-3</v>
      </c>
      <c r="M31" s="544">
        <f t="shared" si="6"/>
        <v>0</v>
      </c>
      <c r="N31" s="544">
        <f t="shared" si="6"/>
        <v>0</v>
      </c>
      <c r="O31" s="544">
        <f>O4-O18</f>
        <v>0</v>
      </c>
      <c r="P31" s="544">
        <f t="shared" si="6"/>
        <v>0</v>
      </c>
      <c r="Q31" s="544">
        <f t="shared" si="6"/>
        <v>0</v>
      </c>
      <c r="R31" s="544">
        <f t="shared" si="6"/>
        <v>0</v>
      </c>
      <c r="S31" s="4"/>
    </row>
    <row r="32" spans="1:19" x14ac:dyDescent="0.2">
      <c r="G32" s="537" t="s">
        <v>78</v>
      </c>
      <c r="H32" s="545">
        <v>2011</v>
      </c>
      <c r="I32" s="545">
        <f t="shared" ref="I32:R32" si="7">H32+1</f>
        <v>2012</v>
      </c>
      <c r="J32" s="545">
        <f t="shared" si="7"/>
        <v>2013</v>
      </c>
      <c r="K32" s="545">
        <f t="shared" si="7"/>
        <v>2014</v>
      </c>
      <c r="L32" s="545">
        <f t="shared" si="7"/>
        <v>2015</v>
      </c>
      <c r="M32" s="545">
        <f t="shared" si="7"/>
        <v>2016</v>
      </c>
      <c r="N32" s="545">
        <f t="shared" si="7"/>
        <v>2017</v>
      </c>
      <c r="O32" s="545">
        <f t="shared" si="7"/>
        <v>2018</v>
      </c>
      <c r="P32" s="545">
        <f t="shared" si="7"/>
        <v>2019</v>
      </c>
      <c r="Q32" s="545">
        <f t="shared" si="7"/>
        <v>2020</v>
      </c>
      <c r="R32" s="545">
        <f t="shared" si="7"/>
        <v>2021</v>
      </c>
    </row>
    <row r="33" spans="1:18" x14ac:dyDescent="0.2">
      <c r="B33" s="2" t="s">
        <v>79</v>
      </c>
      <c r="C33" s="19">
        <v>3</v>
      </c>
      <c r="G33" s="539" t="s">
        <v>80</v>
      </c>
      <c r="H33" s="540">
        <f>SUM(H34:H37)</f>
        <v>1323.3039999999999</v>
      </c>
      <c r="I33" s="540">
        <f t="shared" ref="I33:R33" si="8">SUM(I34:I37)</f>
        <v>2774.605</v>
      </c>
      <c r="J33" s="540">
        <f t="shared" si="8"/>
        <v>1452.97</v>
      </c>
      <c r="K33" s="540">
        <f t="shared" si="8"/>
        <v>2301.6240000000003</v>
      </c>
      <c r="L33" s="540">
        <f t="shared" si="8"/>
        <v>1771.0530000000001</v>
      </c>
      <c r="M33" s="540">
        <f t="shared" si="8"/>
        <v>6794</v>
      </c>
      <c r="N33" s="540">
        <f t="shared" si="8"/>
        <v>8785</v>
      </c>
      <c r="O33" s="540">
        <f t="shared" si="8"/>
        <v>2160</v>
      </c>
      <c r="P33" s="540">
        <f t="shared" si="8"/>
        <v>2180</v>
      </c>
      <c r="Q33" s="540">
        <f t="shared" si="8"/>
        <v>2199</v>
      </c>
      <c r="R33" s="540">
        <f t="shared" si="8"/>
        <v>2220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541">
        <v>0</v>
      </c>
      <c r="I34" s="541">
        <v>0</v>
      </c>
      <c r="J34" s="541">
        <v>0</v>
      </c>
      <c r="K34" s="541">
        <v>0</v>
      </c>
      <c r="L34" s="541">
        <v>0</v>
      </c>
      <c r="M34" s="541">
        <v>0</v>
      </c>
      <c r="N34" s="541">
        <v>0</v>
      </c>
      <c r="O34" s="541">
        <v>0</v>
      </c>
      <c r="P34" s="541">
        <v>0</v>
      </c>
      <c r="Q34" s="541">
        <v>0</v>
      </c>
      <c r="R34" s="541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541">
        <v>460.99200000000002</v>
      </c>
      <c r="I35" s="541">
        <v>455.858</v>
      </c>
      <c r="J35" s="541">
        <v>431.18799999999999</v>
      </c>
      <c r="K35" s="541">
        <v>665.56299999999999</v>
      </c>
      <c r="L35" s="541">
        <v>559.93200000000002</v>
      </c>
      <c r="M35" s="541">
        <v>708</v>
      </c>
      <c r="N35" s="541">
        <v>600</v>
      </c>
      <c r="O35" s="541">
        <v>900</v>
      </c>
      <c r="P35" s="541">
        <v>940</v>
      </c>
      <c r="Q35" s="541">
        <v>940</v>
      </c>
      <c r="R35" s="541">
        <v>950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541">
        <v>934.8</v>
      </c>
      <c r="I36" s="541">
        <v>2317.08</v>
      </c>
      <c r="J36" s="541">
        <v>1021.782</v>
      </c>
      <c r="K36" s="541">
        <v>1636.9580000000001</v>
      </c>
      <c r="L36" s="541">
        <v>1211.135</v>
      </c>
      <c r="M36" s="541">
        <v>6085</v>
      </c>
      <c r="N36" s="541">
        <v>8175</v>
      </c>
      <c r="O36" s="541">
        <v>1250</v>
      </c>
      <c r="P36" s="541">
        <v>1230</v>
      </c>
      <c r="Q36" s="541">
        <v>1240</v>
      </c>
      <c r="R36" s="541">
        <v>1250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541">
        <v>-72.488</v>
      </c>
      <c r="I37" s="541">
        <v>1.667</v>
      </c>
      <c r="J37" s="541">
        <v>0</v>
      </c>
      <c r="K37" s="541">
        <v>-0.89700000000000002</v>
      </c>
      <c r="L37" s="541">
        <v>-1.4E-2</v>
      </c>
      <c r="M37" s="541">
        <v>1</v>
      </c>
      <c r="N37" s="541">
        <v>10</v>
      </c>
      <c r="O37" s="541">
        <v>10</v>
      </c>
      <c r="P37" s="541">
        <v>10</v>
      </c>
      <c r="Q37" s="541">
        <v>19</v>
      </c>
      <c r="R37" s="541">
        <v>20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540">
        <f>H39+H40</f>
        <v>-172.048</v>
      </c>
      <c r="I38" s="540">
        <f t="shared" ref="I38:R38" si="9">I39+I40</f>
        <v>-1.7370000000000001</v>
      </c>
      <c r="J38" s="540">
        <f t="shared" si="9"/>
        <v>-1.7370000000000001</v>
      </c>
      <c r="K38" s="540">
        <f t="shared" si="9"/>
        <v>-1.7969999999999999</v>
      </c>
      <c r="L38" s="540">
        <f t="shared" si="9"/>
        <v>-1.9059999999999999</v>
      </c>
      <c r="M38" s="540">
        <f t="shared" si="9"/>
        <v>-3</v>
      </c>
      <c r="N38" s="540">
        <f t="shared" si="9"/>
        <v>-3</v>
      </c>
      <c r="O38" s="540">
        <f t="shared" si="9"/>
        <v>-3</v>
      </c>
      <c r="P38" s="540">
        <f t="shared" si="9"/>
        <v>-3</v>
      </c>
      <c r="Q38" s="540">
        <f t="shared" si="9"/>
        <v>-4</v>
      </c>
      <c r="R38" s="540">
        <f t="shared" si="9"/>
        <v>-4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541">
        <v>0</v>
      </c>
      <c r="I39" s="541">
        <v>0</v>
      </c>
      <c r="J39" s="541">
        <v>0</v>
      </c>
      <c r="K39" s="541">
        <v>0</v>
      </c>
      <c r="L39" s="541">
        <v>0</v>
      </c>
      <c r="M39" s="541">
        <v>0</v>
      </c>
      <c r="N39" s="541">
        <v>0</v>
      </c>
      <c r="O39" s="541">
        <v>0</v>
      </c>
      <c r="P39" s="541">
        <v>0</v>
      </c>
      <c r="Q39" s="541">
        <v>0</v>
      </c>
      <c r="R39" s="541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541">
        <v>-172.048</v>
      </c>
      <c r="I40" s="541">
        <v>-1.7370000000000001</v>
      </c>
      <c r="J40" s="541">
        <v>-1.7370000000000001</v>
      </c>
      <c r="K40" s="541">
        <v>-1.7969999999999999</v>
      </c>
      <c r="L40" s="541">
        <v>-1.9059999999999999</v>
      </c>
      <c r="M40" s="541">
        <v>-3</v>
      </c>
      <c r="N40" s="541">
        <v>-3</v>
      </c>
      <c r="O40" s="541">
        <v>-3</v>
      </c>
      <c r="P40" s="541">
        <v>-3</v>
      </c>
      <c r="Q40" s="541">
        <v>-4</v>
      </c>
      <c r="R40" s="541">
        <v>-4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540">
        <f>SUM(H42:H45)</f>
        <v>-1481.3609999999999</v>
      </c>
      <c r="I41" s="540">
        <f t="shared" ref="I41:R41" si="10">SUM(I42:I45)</f>
        <v>-1594.2239999999999</v>
      </c>
      <c r="J41" s="540">
        <f t="shared" si="10"/>
        <v>-1703.1860000000001</v>
      </c>
      <c r="K41" s="540">
        <f t="shared" si="10"/>
        <v>-2287.1760000000004</v>
      </c>
      <c r="L41" s="540">
        <f t="shared" si="10"/>
        <v>-2050.241</v>
      </c>
      <c r="M41" s="540">
        <f t="shared" si="10"/>
        <v>-2812</v>
      </c>
      <c r="N41" s="540">
        <f t="shared" si="10"/>
        <v>-4901</v>
      </c>
      <c r="O41" s="540">
        <f t="shared" si="10"/>
        <v>-2510</v>
      </c>
      <c r="P41" s="540">
        <f t="shared" si="10"/>
        <v>-2540</v>
      </c>
      <c r="Q41" s="540">
        <f t="shared" si="10"/>
        <v>-2550</v>
      </c>
      <c r="R41" s="540">
        <f t="shared" si="10"/>
        <v>-2570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541">
        <v>-887.78399999999999</v>
      </c>
      <c r="I42" s="541">
        <v>-884.05899999999997</v>
      </c>
      <c r="J42" s="541">
        <v>-931.774</v>
      </c>
      <c r="K42" s="541">
        <v>-1069.1210000000001</v>
      </c>
      <c r="L42" s="541">
        <v>-1108.8030000000001</v>
      </c>
      <c r="M42" s="541">
        <v>-1252</v>
      </c>
      <c r="N42" s="541">
        <v>-1300</v>
      </c>
      <c r="O42" s="541">
        <v>-1320</v>
      </c>
      <c r="P42" s="541">
        <v>-1330</v>
      </c>
      <c r="Q42" s="541">
        <v>-1330</v>
      </c>
      <c r="R42" s="541">
        <v>-1340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541">
        <v>-430.63600000000002</v>
      </c>
      <c r="I43" s="541">
        <v>-507.58600000000001</v>
      </c>
      <c r="J43" s="541">
        <v>-479.20800000000003</v>
      </c>
      <c r="K43" s="541">
        <v>-631.04</v>
      </c>
      <c r="L43" s="541">
        <v>-566.43299999999999</v>
      </c>
      <c r="M43" s="541">
        <v>-618</v>
      </c>
      <c r="N43" s="541">
        <v>-850</v>
      </c>
      <c r="O43" s="541">
        <v>-800</v>
      </c>
      <c r="P43" s="541">
        <v>-820</v>
      </c>
      <c r="Q43" s="541">
        <v>-830</v>
      </c>
      <c r="R43" s="541">
        <v>-840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541">
        <v>-1.7350000000000001</v>
      </c>
      <c r="I44" s="541">
        <v>-5.6139999999999999</v>
      </c>
      <c r="J44" s="541">
        <v>-0.35199999999999998</v>
      </c>
      <c r="K44" s="541">
        <v>-0.53500000000000003</v>
      </c>
      <c r="L44" s="541">
        <v>-0.316</v>
      </c>
      <c r="M44" s="541">
        <v>0</v>
      </c>
      <c r="N44" s="541">
        <v>0</v>
      </c>
      <c r="O44" s="541">
        <v>0</v>
      </c>
      <c r="P44" s="541">
        <v>0</v>
      </c>
      <c r="Q44" s="541">
        <v>0</v>
      </c>
      <c r="R44" s="541">
        <v>0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541">
        <v>-161.20599999999999</v>
      </c>
      <c r="I45" s="541">
        <v>-196.965</v>
      </c>
      <c r="J45" s="541">
        <v>-291.85199999999998</v>
      </c>
      <c r="K45" s="541">
        <v>-586.48</v>
      </c>
      <c r="L45" s="541">
        <v>-374.68900000000002</v>
      </c>
      <c r="M45" s="541">
        <v>-942</v>
      </c>
      <c r="N45" s="541">
        <v>-2751</v>
      </c>
      <c r="O45" s="541">
        <v>-390</v>
      </c>
      <c r="P45" s="541">
        <v>-390</v>
      </c>
      <c r="Q45" s="541">
        <v>-390</v>
      </c>
      <c r="R45" s="541">
        <v>-390</v>
      </c>
    </row>
    <row r="46" spans="1:18" x14ac:dyDescent="0.2">
      <c r="B46" s="2" t="s">
        <v>107</v>
      </c>
      <c r="G46" s="18" t="s">
        <v>108</v>
      </c>
      <c r="H46" s="540">
        <f>H33+H38+H41</f>
        <v>-330.10500000000002</v>
      </c>
      <c r="I46" s="540">
        <f t="shared" ref="I46:R46" si="11">I33+I38+I41</f>
        <v>1178.644</v>
      </c>
      <c r="J46" s="540">
        <f t="shared" si="11"/>
        <v>-251.9530000000002</v>
      </c>
      <c r="K46" s="540">
        <f t="shared" si="11"/>
        <v>12.65099999999984</v>
      </c>
      <c r="L46" s="540">
        <f t="shared" si="11"/>
        <v>-281.09399999999982</v>
      </c>
      <c r="M46" s="540">
        <f t="shared" si="11"/>
        <v>3979</v>
      </c>
      <c r="N46" s="540">
        <f t="shared" si="11"/>
        <v>3881</v>
      </c>
      <c r="O46" s="540">
        <f t="shared" si="11"/>
        <v>-353</v>
      </c>
      <c r="P46" s="540">
        <f t="shared" si="11"/>
        <v>-363</v>
      </c>
      <c r="Q46" s="540">
        <f t="shared" si="11"/>
        <v>-355</v>
      </c>
      <c r="R46" s="540">
        <f t="shared" si="11"/>
        <v>-354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541">
        <v>0.29099999999999998</v>
      </c>
      <c r="I47" s="541">
        <v>0.191</v>
      </c>
      <c r="J47" s="541">
        <v>0</v>
      </c>
      <c r="K47" s="541">
        <v>0</v>
      </c>
      <c r="L47" s="541">
        <v>12.180999999999999</v>
      </c>
      <c r="M47" s="541">
        <v>16</v>
      </c>
      <c r="N47" s="541">
        <v>0</v>
      </c>
      <c r="O47" s="541">
        <v>0</v>
      </c>
      <c r="P47" s="541">
        <v>0</v>
      </c>
      <c r="Q47" s="541">
        <v>0</v>
      </c>
      <c r="R47" s="541">
        <v>0</v>
      </c>
    </row>
    <row r="48" spans="1:18" x14ac:dyDescent="0.2">
      <c r="B48" s="2" t="s">
        <v>111</v>
      </c>
      <c r="G48" s="18" t="s">
        <v>112</v>
      </c>
      <c r="H48" s="540">
        <f>H46+H47</f>
        <v>-329.81400000000002</v>
      </c>
      <c r="I48" s="540">
        <f t="shared" ref="I48:R48" si="12">I46+I47</f>
        <v>1178.835</v>
      </c>
      <c r="J48" s="540">
        <f t="shared" si="12"/>
        <v>-251.9530000000002</v>
      </c>
      <c r="K48" s="540">
        <f t="shared" si="12"/>
        <v>12.65099999999984</v>
      </c>
      <c r="L48" s="540">
        <f t="shared" si="12"/>
        <v>-268.91299999999984</v>
      </c>
      <c r="M48" s="540">
        <f t="shared" si="12"/>
        <v>3995</v>
      </c>
      <c r="N48" s="540">
        <f t="shared" si="12"/>
        <v>3881</v>
      </c>
      <c r="O48" s="540">
        <f t="shared" si="12"/>
        <v>-353</v>
      </c>
      <c r="P48" s="540">
        <f t="shared" si="12"/>
        <v>-363</v>
      </c>
      <c r="Q48" s="540">
        <f t="shared" si="12"/>
        <v>-355</v>
      </c>
      <c r="R48" s="540">
        <f t="shared" si="12"/>
        <v>-354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541">
        <v>0</v>
      </c>
      <c r="I49" s="541">
        <v>0</v>
      </c>
      <c r="J49" s="541">
        <v>0</v>
      </c>
      <c r="K49" s="541">
        <v>0</v>
      </c>
      <c r="L49" s="541">
        <v>0</v>
      </c>
      <c r="M49" s="541">
        <v>0</v>
      </c>
      <c r="N49" s="541">
        <v>0</v>
      </c>
      <c r="O49" s="541">
        <v>0</v>
      </c>
      <c r="P49" s="541">
        <v>0</v>
      </c>
      <c r="Q49" s="541">
        <v>0</v>
      </c>
      <c r="R49" s="541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541">
        <v>0</v>
      </c>
      <c r="I50" s="541">
        <v>0</v>
      </c>
      <c r="J50" s="541">
        <v>0</v>
      </c>
      <c r="K50" s="541">
        <v>0</v>
      </c>
      <c r="L50" s="541">
        <v>0</v>
      </c>
      <c r="M50" s="541">
        <v>0</v>
      </c>
      <c r="N50" s="541">
        <v>0</v>
      </c>
      <c r="O50" s="541">
        <v>0</v>
      </c>
      <c r="P50" s="541">
        <v>0</v>
      </c>
      <c r="Q50" s="541">
        <v>0</v>
      </c>
      <c r="R50" s="541">
        <v>0</v>
      </c>
    </row>
    <row r="51" spans="1:18" x14ac:dyDescent="0.2">
      <c r="B51" s="2" t="s">
        <v>117</v>
      </c>
      <c r="G51" s="18" t="s">
        <v>118</v>
      </c>
      <c r="H51" s="540">
        <f>H48+H49+H50</f>
        <v>-329.81400000000002</v>
      </c>
      <c r="I51" s="540">
        <f t="shared" ref="I51:R51" si="13">I48+I49+I50</f>
        <v>1178.835</v>
      </c>
      <c r="J51" s="540">
        <f t="shared" si="13"/>
        <v>-251.9530000000002</v>
      </c>
      <c r="K51" s="540">
        <f t="shared" si="13"/>
        <v>12.65099999999984</v>
      </c>
      <c r="L51" s="540">
        <f t="shared" si="13"/>
        <v>-268.91299999999984</v>
      </c>
      <c r="M51" s="540">
        <f t="shared" si="13"/>
        <v>3995</v>
      </c>
      <c r="N51" s="540">
        <f t="shared" si="13"/>
        <v>3881</v>
      </c>
      <c r="O51" s="540">
        <f>O48+O49+O50</f>
        <v>-353</v>
      </c>
      <c r="P51" s="540">
        <f t="shared" si="13"/>
        <v>-363</v>
      </c>
      <c r="Q51" s="540">
        <f t="shared" si="13"/>
        <v>-355</v>
      </c>
      <c r="R51" s="540">
        <f t="shared" si="13"/>
        <v>-354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544">
        <f>H30-H51</f>
        <v>1.0000000000331966E-3</v>
      </c>
      <c r="I52" s="544">
        <f t="shared" ref="I52:R52" si="14">I30-I51</f>
        <v>-9.9999999997635314E-4</v>
      </c>
      <c r="J52" s="544">
        <f t="shared" si="14"/>
        <v>0</v>
      </c>
      <c r="K52" s="544">
        <f t="shared" si="14"/>
        <v>1.5987211554602254E-13</v>
      </c>
      <c r="L52" s="544">
        <f t="shared" si="14"/>
        <v>9.999999998626663E-4</v>
      </c>
      <c r="M52" s="544">
        <f t="shared" si="14"/>
        <v>0</v>
      </c>
      <c r="N52" s="544">
        <f t="shared" si="14"/>
        <v>0</v>
      </c>
      <c r="O52" s="544">
        <f>O30-O51</f>
        <v>0</v>
      </c>
      <c r="P52" s="544">
        <f t="shared" si="14"/>
        <v>0</v>
      </c>
      <c r="Q52" s="544">
        <f t="shared" si="14"/>
        <v>0</v>
      </c>
      <c r="R52" s="544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541">
        <v>76</v>
      </c>
      <c r="I54" s="541">
        <v>74</v>
      </c>
      <c r="J54" s="541">
        <v>76</v>
      </c>
      <c r="K54" s="541">
        <v>78</v>
      </c>
      <c r="L54" s="541">
        <v>79</v>
      </c>
      <c r="M54" s="541">
        <v>79</v>
      </c>
      <c r="N54" s="541">
        <v>81</v>
      </c>
      <c r="O54" s="541">
        <v>83</v>
      </c>
      <c r="P54" s="541">
        <v>83</v>
      </c>
      <c r="Q54" s="541">
        <v>83</v>
      </c>
      <c r="R54" s="541">
        <v>83</v>
      </c>
    </row>
    <row r="55" spans="1:18" ht="12" x14ac:dyDescent="0.2">
      <c r="E55" s="20" t="s">
        <v>14</v>
      </c>
      <c r="G55" s="46" t="s">
        <v>122</v>
      </c>
      <c r="H55" s="541"/>
      <c r="I55" s="541"/>
      <c r="J55" s="541"/>
      <c r="K55" s="541"/>
      <c r="L55" s="546"/>
      <c r="M55" s="546"/>
      <c r="N55" s="546"/>
      <c r="O55" s="546"/>
      <c r="P55" s="546"/>
      <c r="Q55" s="546"/>
      <c r="R55" s="546"/>
    </row>
    <row r="57" spans="1:18" x14ac:dyDescent="0.2">
      <c r="D57" s="49" t="s">
        <v>123</v>
      </c>
      <c r="E57" s="50" t="s">
        <v>3</v>
      </c>
      <c r="F57" s="17"/>
      <c r="G57" s="537" t="s">
        <v>124</v>
      </c>
      <c r="H57" s="545">
        <f>H32</f>
        <v>2011</v>
      </c>
      <c r="I57" s="545">
        <f t="shared" ref="I57:R57" si="15">I32</f>
        <v>2012</v>
      </c>
      <c r="J57" s="545">
        <f t="shared" si="15"/>
        <v>2013</v>
      </c>
      <c r="K57" s="545">
        <f t="shared" si="15"/>
        <v>2014</v>
      </c>
      <c r="L57" s="545">
        <f t="shared" si="15"/>
        <v>2015</v>
      </c>
      <c r="M57" s="545">
        <f t="shared" si="15"/>
        <v>2016</v>
      </c>
      <c r="N57" s="545">
        <f t="shared" si="15"/>
        <v>2017</v>
      </c>
      <c r="O57" s="545">
        <f t="shared" si="15"/>
        <v>2018</v>
      </c>
      <c r="P57" s="545">
        <f t="shared" si="15"/>
        <v>2019</v>
      </c>
      <c r="Q57" s="545">
        <f t="shared" si="15"/>
        <v>2020</v>
      </c>
      <c r="R57" s="545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539" t="s">
        <v>128</v>
      </c>
      <c r="H58" s="541">
        <v>-7.92</v>
      </c>
      <c r="I58" s="541">
        <v>19.405999999999999</v>
      </c>
      <c r="J58" s="541">
        <v>-63.987000000000002</v>
      </c>
      <c r="K58" s="541">
        <v>308.31099999999998</v>
      </c>
      <c r="L58" s="541">
        <v>-246.43899999999999</v>
      </c>
      <c r="M58" s="541">
        <v>-4818</v>
      </c>
      <c r="N58" s="541">
        <v>-8771</v>
      </c>
      <c r="O58" s="541">
        <v>-56</v>
      </c>
      <c r="P58" s="541">
        <v>0</v>
      </c>
      <c r="Q58" s="541">
        <v>-13</v>
      </c>
      <c r="R58" s="541">
        <v>-17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541">
        <v>27.841999999999999</v>
      </c>
      <c r="I59" s="541">
        <v>1.667</v>
      </c>
      <c r="J59" s="541">
        <v>0</v>
      </c>
      <c r="K59" s="541">
        <v>2</v>
      </c>
      <c r="L59" s="541">
        <v>6.25</v>
      </c>
      <c r="M59" s="541">
        <v>0</v>
      </c>
      <c r="N59" s="541">
        <v>0</v>
      </c>
      <c r="O59" s="541">
        <v>0</v>
      </c>
      <c r="P59" s="541">
        <v>0</v>
      </c>
      <c r="Q59" s="541">
        <v>0</v>
      </c>
      <c r="R59" s="541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541">
        <v>-0.6</v>
      </c>
      <c r="I60" s="541">
        <v>0.6</v>
      </c>
      <c r="J60" s="541">
        <v>62.902000000000001</v>
      </c>
      <c r="K60" s="541">
        <v>0</v>
      </c>
      <c r="L60" s="541">
        <v>8723.0429999999997</v>
      </c>
      <c r="M60" s="541">
        <v>4866</v>
      </c>
      <c r="N60" s="541">
        <v>0</v>
      </c>
      <c r="O60" s="541">
        <v>0</v>
      </c>
      <c r="P60" s="541">
        <v>0</v>
      </c>
      <c r="Q60" s="541">
        <v>0</v>
      </c>
      <c r="R60" s="541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541">
        <v>0</v>
      </c>
      <c r="I61" s="541">
        <v>0</v>
      </c>
      <c r="J61" s="541">
        <v>0</v>
      </c>
      <c r="K61" s="541">
        <v>0</v>
      </c>
      <c r="L61" s="541">
        <v>0</v>
      </c>
      <c r="M61" s="541">
        <v>0</v>
      </c>
      <c r="N61" s="541">
        <v>0</v>
      </c>
      <c r="O61" s="541">
        <v>0</v>
      </c>
      <c r="P61" s="541">
        <v>0</v>
      </c>
      <c r="Q61" s="541">
        <v>0</v>
      </c>
      <c r="R61" s="541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541">
        <v>0</v>
      </c>
      <c r="I62" s="541">
        <v>0</v>
      </c>
      <c r="J62" s="541">
        <v>0</v>
      </c>
      <c r="K62" s="541">
        <v>0</v>
      </c>
      <c r="L62" s="541">
        <v>0</v>
      </c>
      <c r="M62" s="541">
        <v>0</v>
      </c>
      <c r="N62" s="541">
        <v>0</v>
      </c>
      <c r="O62" s="541">
        <v>0</v>
      </c>
      <c r="P62" s="541">
        <v>0</v>
      </c>
      <c r="Q62" s="541">
        <v>0</v>
      </c>
      <c r="R62" s="541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541">
        <v>0</v>
      </c>
      <c r="I63" s="541">
        <v>0</v>
      </c>
      <c r="J63" s="541">
        <v>0</v>
      </c>
      <c r="K63" s="541">
        <v>0</v>
      </c>
      <c r="L63" s="541">
        <v>0</v>
      </c>
      <c r="M63" s="541">
        <v>0</v>
      </c>
      <c r="N63" s="541">
        <v>0</v>
      </c>
      <c r="O63" s="541">
        <v>0</v>
      </c>
      <c r="P63" s="541">
        <v>0</v>
      </c>
      <c r="Q63" s="541">
        <v>0</v>
      </c>
      <c r="R63" s="541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541">
        <v>0</v>
      </c>
      <c r="I64" s="541">
        <v>0</v>
      </c>
      <c r="J64" s="541">
        <v>0</v>
      </c>
      <c r="K64" s="541">
        <v>0</v>
      </c>
      <c r="L64" s="541">
        <v>0</v>
      </c>
      <c r="M64" s="541">
        <v>0</v>
      </c>
      <c r="N64" s="541">
        <v>0</v>
      </c>
      <c r="O64" s="541">
        <v>0</v>
      </c>
      <c r="P64" s="541">
        <v>0</v>
      </c>
      <c r="Q64" s="541">
        <v>0</v>
      </c>
      <c r="R64" s="541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541">
        <v>0</v>
      </c>
      <c r="I65" s="541">
        <v>0</v>
      </c>
      <c r="J65" s="541">
        <v>0</v>
      </c>
      <c r="K65" s="541">
        <v>0</v>
      </c>
      <c r="L65" s="541">
        <v>0</v>
      </c>
      <c r="M65" s="541">
        <v>0</v>
      </c>
      <c r="N65" s="541">
        <v>0</v>
      </c>
      <c r="O65" s="541">
        <v>0</v>
      </c>
      <c r="P65" s="541">
        <v>0</v>
      </c>
      <c r="Q65" s="541">
        <v>0</v>
      </c>
      <c r="R65" s="541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541">
        <v>0</v>
      </c>
      <c r="I66" s="541">
        <v>0</v>
      </c>
      <c r="J66" s="541">
        <v>0</v>
      </c>
      <c r="K66" s="541">
        <v>0</v>
      </c>
      <c r="L66" s="541">
        <v>0</v>
      </c>
      <c r="M66" s="541">
        <v>0</v>
      </c>
      <c r="N66" s="541">
        <v>0</v>
      </c>
      <c r="O66" s="541">
        <v>0</v>
      </c>
      <c r="P66" s="541">
        <v>0</v>
      </c>
      <c r="Q66" s="541">
        <v>0</v>
      </c>
      <c r="R66" s="541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541">
        <v>0</v>
      </c>
      <c r="I67" s="541">
        <v>0</v>
      </c>
      <c r="J67" s="541">
        <v>0</v>
      </c>
      <c r="K67" s="541">
        <v>0</v>
      </c>
      <c r="L67" s="541">
        <v>0</v>
      </c>
      <c r="M67" s="541">
        <v>0</v>
      </c>
      <c r="N67" s="541">
        <v>0</v>
      </c>
      <c r="O67" s="541">
        <v>0</v>
      </c>
      <c r="P67" s="541">
        <v>0</v>
      </c>
      <c r="Q67" s="541">
        <v>0</v>
      </c>
      <c r="R67" s="541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541">
        <v>0</v>
      </c>
      <c r="I68" s="541">
        <v>0</v>
      </c>
      <c r="J68" s="541">
        <v>0</v>
      </c>
      <c r="K68" s="541">
        <v>0</v>
      </c>
      <c r="L68" s="541">
        <v>0</v>
      </c>
      <c r="M68" s="541">
        <v>0</v>
      </c>
      <c r="N68" s="541">
        <v>0</v>
      </c>
      <c r="O68" s="541">
        <v>0</v>
      </c>
      <c r="P68" s="541">
        <v>0</v>
      </c>
      <c r="Q68" s="541">
        <v>0</v>
      </c>
      <c r="R68" s="541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541">
        <v>0</v>
      </c>
      <c r="I69" s="541">
        <v>0</v>
      </c>
      <c r="J69" s="541">
        <v>0</v>
      </c>
      <c r="K69" s="541">
        <v>0</v>
      </c>
      <c r="L69" s="541">
        <v>0</v>
      </c>
      <c r="M69" s="541">
        <v>0</v>
      </c>
      <c r="N69" s="541">
        <v>0</v>
      </c>
      <c r="O69" s="541">
        <v>0</v>
      </c>
      <c r="P69" s="541">
        <v>0</v>
      </c>
      <c r="Q69" s="541">
        <v>0</v>
      </c>
      <c r="R69" s="541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541">
        <v>0.13600000000000001</v>
      </c>
      <c r="I70" s="541">
        <v>0.505</v>
      </c>
      <c r="J70" s="541">
        <v>2.9000000000000001E-2</v>
      </c>
      <c r="K70" s="541">
        <v>0</v>
      </c>
      <c r="L70" s="541">
        <v>4.2329999999999997</v>
      </c>
      <c r="M70" s="541">
        <v>16</v>
      </c>
      <c r="N70" s="541">
        <v>0</v>
      </c>
      <c r="O70" s="541">
        <v>0</v>
      </c>
      <c r="P70" s="541">
        <v>0</v>
      </c>
      <c r="Q70" s="541">
        <v>0</v>
      </c>
      <c r="R70" s="541">
        <v>0</v>
      </c>
    </row>
    <row r="71" spans="2:18" x14ac:dyDescent="0.2">
      <c r="B71" s="51" t="s">
        <v>162</v>
      </c>
      <c r="D71" s="16"/>
      <c r="E71" s="22"/>
      <c r="F71" s="22"/>
      <c r="G71" s="547" t="s">
        <v>163</v>
      </c>
      <c r="H71" s="540">
        <f t="shared" ref="H71:R71" si="16">SUM(H58:H70)</f>
        <v>19.457999999999995</v>
      </c>
      <c r="I71" s="540">
        <f t="shared" si="16"/>
        <v>22.178000000000001</v>
      </c>
      <c r="J71" s="540">
        <f t="shared" si="16"/>
        <v>-1.0560000000000009</v>
      </c>
      <c r="K71" s="540">
        <f t="shared" si="16"/>
        <v>310.31099999999998</v>
      </c>
      <c r="L71" s="540">
        <f t="shared" si="16"/>
        <v>8487.0869999999995</v>
      </c>
      <c r="M71" s="540">
        <f t="shared" si="16"/>
        <v>64</v>
      </c>
      <c r="N71" s="540">
        <f t="shared" si="16"/>
        <v>-8771</v>
      </c>
      <c r="O71" s="540">
        <f t="shared" si="16"/>
        <v>-56</v>
      </c>
      <c r="P71" s="540">
        <f t="shared" si="16"/>
        <v>0</v>
      </c>
      <c r="Q71" s="540">
        <f t="shared" si="16"/>
        <v>-13</v>
      </c>
      <c r="R71" s="540">
        <f t="shared" si="16"/>
        <v>-17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537" t="s">
        <v>164</v>
      </c>
      <c r="H73" s="545">
        <f t="shared" ref="H73:R73" si="17">H57</f>
        <v>2011</v>
      </c>
      <c r="I73" s="545">
        <f t="shared" si="17"/>
        <v>2012</v>
      </c>
      <c r="J73" s="545">
        <f t="shared" si="17"/>
        <v>2013</v>
      </c>
      <c r="K73" s="545">
        <f t="shared" si="17"/>
        <v>2014</v>
      </c>
      <c r="L73" s="545">
        <f t="shared" si="17"/>
        <v>2015</v>
      </c>
      <c r="M73" s="545">
        <f t="shared" si="17"/>
        <v>2016</v>
      </c>
      <c r="N73" s="545">
        <f t="shared" si="17"/>
        <v>2017</v>
      </c>
      <c r="O73" s="545">
        <f t="shared" si="17"/>
        <v>2018</v>
      </c>
      <c r="P73" s="545">
        <f t="shared" si="17"/>
        <v>2019</v>
      </c>
      <c r="Q73" s="545">
        <f t="shared" si="17"/>
        <v>2020</v>
      </c>
      <c r="R73" s="545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539" t="s">
        <v>167</v>
      </c>
      <c r="H74" s="541">
        <v>0</v>
      </c>
      <c r="I74" s="541">
        <v>0</v>
      </c>
      <c r="J74" s="541">
        <v>0</v>
      </c>
      <c r="K74" s="541">
        <v>0</v>
      </c>
      <c r="L74" s="541">
        <v>0</v>
      </c>
      <c r="M74" s="541">
        <v>0</v>
      </c>
      <c r="N74" s="541">
        <v>0</v>
      </c>
      <c r="O74" s="541">
        <v>0</v>
      </c>
      <c r="P74" s="541">
        <v>0</v>
      </c>
      <c r="Q74" s="541">
        <v>0</v>
      </c>
      <c r="R74" s="541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541">
        <v>0</v>
      </c>
      <c r="I75" s="541">
        <v>0</v>
      </c>
      <c r="J75" s="541">
        <v>0</v>
      </c>
      <c r="K75" s="541">
        <v>0</v>
      </c>
      <c r="L75" s="541">
        <v>0</v>
      </c>
      <c r="M75" s="541">
        <v>0</v>
      </c>
      <c r="N75" s="541">
        <v>0</v>
      </c>
      <c r="O75" s="541">
        <v>0</v>
      </c>
      <c r="P75" s="541">
        <v>0</v>
      </c>
      <c r="Q75" s="541">
        <v>0</v>
      </c>
      <c r="R75" s="541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541">
        <v>0</v>
      </c>
      <c r="I76" s="541">
        <v>0</v>
      </c>
      <c r="J76" s="541">
        <v>0</v>
      </c>
      <c r="K76" s="541">
        <v>0</v>
      </c>
      <c r="L76" s="541">
        <v>0</v>
      </c>
      <c r="M76" s="541">
        <v>0</v>
      </c>
      <c r="N76" s="541">
        <v>0</v>
      </c>
      <c r="O76" s="541">
        <v>0</v>
      </c>
      <c r="P76" s="541">
        <v>0</v>
      </c>
      <c r="Q76" s="541">
        <v>0</v>
      </c>
      <c r="R76" s="541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541">
        <v>0</v>
      </c>
      <c r="I77" s="541">
        <v>0</v>
      </c>
      <c r="J77" s="541">
        <v>0</v>
      </c>
      <c r="K77" s="541">
        <v>0</v>
      </c>
      <c r="L77" s="541">
        <v>0</v>
      </c>
      <c r="M77" s="541">
        <v>0</v>
      </c>
      <c r="N77" s="541">
        <v>0</v>
      </c>
      <c r="O77" s="541">
        <v>0</v>
      </c>
      <c r="P77" s="541">
        <v>0</v>
      </c>
      <c r="Q77" s="541">
        <v>0</v>
      </c>
      <c r="R77" s="541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541">
        <v>-3.2850000000000001</v>
      </c>
      <c r="I78" s="541">
        <v>-1.103</v>
      </c>
      <c r="J78" s="541">
        <v>0</v>
      </c>
      <c r="K78" s="541">
        <v>0</v>
      </c>
      <c r="L78" s="541">
        <v>0</v>
      </c>
      <c r="M78" s="541">
        <v>0</v>
      </c>
      <c r="N78" s="541">
        <v>0</v>
      </c>
      <c r="O78" s="541">
        <v>0</v>
      </c>
      <c r="P78" s="541">
        <v>0</v>
      </c>
      <c r="Q78" s="541">
        <v>0</v>
      </c>
      <c r="R78" s="541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541">
        <v>0</v>
      </c>
      <c r="I79" s="541">
        <v>-3.9E-2</v>
      </c>
      <c r="J79" s="541">
        <v>0</v>
      </c>
      <c r="K79" s="541">
        <v>0</v>
      </c>
      <c r="L79" s="541">
        <v>0</v>
      </c>
      <c r="M79" s="541">
        <v>0</v>
      </c>
      <c r="N79" s="541">
        <v>0</v>
      </c>
      <c r="O79" s="541">
        <v>0</v>
      </c>
      <c r="P79" s="541">
        <v>0</v>
      </c>
      <c r="Q79" s="541">
        <v>0</v>
      </c>
      <c r="R79" s="541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541">
        <v>0</v>
      </c>
      <c r="I80" s="541">
        <v>0</v>
      </c>
      <c r="J80" s="541">
        <v>0</v>
      </c>
      <c r="K80" s="541">
        <v>0</v>
      </c>
      <c r="L80" s="541">
        <v>0</v>
      </c>
      <c r="M80" s="541">
        <v>0</v>
      </c>
      <c r="N80" s="541">
        <v>0</v>
      </c>
      <c r="O80" s="541">
        <v>0</v>
      </c>
      <c r="P80" s="541">
        <v>0</v>
      </c>
      <c r="Q80" s="541">
        <v>0</v>
      </c>
      <c r="R80" s="541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541">
        <v>0</v>
      </c>
      <c r="I81" s="541">
        <v>0</v>
      </c>
      <c r="J81" s="541">
        <v>0</v>
      </c>
      <c r="K81" s="541">
        <v>0</v>
      </c>
      <c r="L81" s="541">
        <v>0</v>
      </c>
      <c r="M81" s="541">
        <v>0</v>
      </c>
      <c r="N81" s="541">
        <v>0</v>
      </c>
      <c r="O81" s="541">
        <v>0</v>
      </c>
      <c r="P81" s="541">
        <v>0</v>
      </c>
      <c r="Q81" s="541">
        <v>0</v>
      </c>
      <c r="R81" s="541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541">
        <v>0</v>
      </c>
      <c r="I82" s="541">
        <v>0</v>
      </c>
      <c r="J82" s="541">
        <v>0</v>
      </c>
      <c r="K82" s="541">
        <v>0</v>
      </c>
      <c r="L82" s="541">
        <v>0</v>
      </c>
      <c r="M82" s="541">
        <v>0</v>
      </c>
      <c r="N82" s="541">
        <v>0</v>
      </c>
      <c r="O82" s="541">
        <v>0</v>
      </c>
      <c r="P82" s="541">
        <v>0</v>
      </c>
      <c r="Q82" s="541">
        <v>0</v>
      </c>
      <c r="R82" s="541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541">
        <v>0</v>
      </c>
      <c r="I83" s="541">
        <v>0</v>
      </c>
      <c r="J83" s="541">
        <v>0</v>
      </c>
      <c r="K83" s="541">
        <v>0</v>
      </c>
      <c r="L83" s="541">
        <v>0</v>
      </c>
      <c r="M83" s="541">
        <v>0</v>
      </c>
      <c r="N83" s="541">
        <v>0</v>
      </c>
      <c r="O83" s="541">
        <v>0</v>
      </c>
      <c r="P83" s="541">
        <v>0</v>
      </c>
      <c r="Q83" s="541">
        <v>0</v>
      </c>
      <c r="R83" s="541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541">
        <v>0</v>
      </c>
      <c r="I84" s="541">
        <v>0</v>
      </c>
      <c r="J84" s="541">
        <v>0</v>
      </c>
      <c r="K84" s="541">
        <v>0</v>
      </c>
      <c r="L84" s="541">
        <v>0</v>
      </c>
      <c r="M84" s="541">
        <v>0</v>
      </c>
      <c r="N84" s="541">
        <v>0</v>
      </c>
      <c r="O84" s="541">
        <v>0</v>
      </c>
      <c r="P84" s="541">
        <v>0</v>
      </c>
      <c r="Q84" s="541">
        <v>0</v>
      </c>
      <c r="R84" s="541">
        <v>0</v>
      </c>
    </row>
    <row r="85" spans="1:18" x14ac:dyDescent="0.2">
      <c r="B85" s="2" t="s">
        <v>192</v>
      </c>
      <c r="G85" s="186" t="s">
        <v>163</v>
      </c>
      <c r="H85" s="540">
        <f t="shared" ref="H85:R85" si="18">SUM(H74:H84)</f>
        <v>-3.2850000000000001</v>
      </c>
      <c r="I85" s="540">
        <f t="shared" si="18"/>
        <v>-1.1419999999999999</v>
      </c>
      <c r="J85" s="540">
        <f t="shared" si="18"/>
        <v>0</v>
      </c>
      <c r="K85" s="540">
        <f t="shared" si="18"/>
        <v>0</v>
      </c>
      <c r="L85" s="540">
        <f t="shared" si="18"/>
        <v>0</v>
      </c>
      <c r="M85" s="540">
        <f t="shared" si="18"/>
        <v>0</v>
      </c>
      <c r="N85" s="540">
        <f t="shared" si="18"/>
        <v>0</v>
      </c>
      <c r="O85" s="540">
        <f t="shared" si="18"/>
        <v>0</v>
      </c>
      <c r="P85" s="540">
        <f t="shared" si="18"/>
        <v>0</v>
      </c>
      <c r="Q85" s="540">
        <f t="shared" si="18"/>
        <v>0</v>
      </c>
      <c r="R85" s="540">
        <f t="shared" si="18"/>
        <v>0</v>
      </c>
    </row>
    <row r="87" spans="1:18" x14ac:dyDescent="0.2">
      <c r="A87" s="23" t="s">
        <v>0</v>
      </c>
      <c r="D87" s="1321" t="s">
        <v>193</v>
      </c>
      <c r="E87" s="1322"/>
      <c r="G87" s="537" t="s">
        <v>194</v>
      </c>
      <c r="H87" s="545">
        <f t="shared" ref="H87:R87" si="19">H32</f>
        <v>2011</v>
      </c>
      <c r="I87" s="545">
        <f t="shared" si="19"/>
        <v>2012</v>
      </c>
      <c r="J87" s="545">
        <f t="shared" si="19"/>
        <v>2013</v>
      </c>
      <c r="K87" s="545">
        <f t="shared" si="19"/>
        <v>2014</v>
      </c>
      <c r="L87" s="545">
        <f t="shared" si="19"/>
        <v>2015</v>
      </c>
      <c r="M87" s="545">
        <f t="shared" si="19"/>
        <v>2016</v>
      </c>
      <c r="N87" s="545">
        <f t="shared" si="19"/>
        <v>2017</v>
      </c>
      <c r="O87" s="545">
        <f t="shared" si="19"/>
        <v>2018</v>
      </c>
      <c r="P87" s="545">
        <f t="shared" si="19"/>
        <v>2019</v>
      </c>
      <c r="Q87" s="545">
        <f t="shared" si="19"/>
        <v>2020</v>
      </c>
      <c r="R87" s="545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548"/>
      <c r="G88" s="539" t="s">
        <v>198</v>
      </c>
      <c r="H88" s="540">
        <f>H46+H71</f>
        <v>-310.64700000000005</v>
      </c>
      <c r="I88" s="540">
        <f t="shared" ref="I88:R88" si="20">I46+I71</f>
        <v>1200.8220000000001</v>
      </c>
      <c r="J88" s="540">
        <f t="shared" si="20"/>
        <v>-253.00900000000021</v>
      </c>
      <c r="K88" s="540">
        <f t="shared" si="20"/>
        <v>322.96199999999982</v>
      </c>
      <c r="L88" s="540">
        <f t="shared" si="20"/>
        <v>8205.9930000000004</v>
      </c>
      <c r="M88" s="540">
        <f t="shared" si="20"/>
        <v>4043</v>
      </c>
      <c r="N88" s="540">
        <f t="shared" si="20"/>
        <v>-4890</v>
      </c>
      <c r="O88" s="540">
        <f t="shared" si="20"/>
        <v>-409</v>
      </c>
      <c r="P88" s="540">
        <f t="shared" si="20"/>
        <v>-363</v>
      </c>
      <c r="Q88" s="540">
        <f t="shared" si="20"/>
        <v>-368</v>
      </c>
      <c r="R88" s="540">
        <f t="shared" si="20"/>
        <v>-371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548"/>
      <c r="G89" s="539" t="s">
        <v>202</v>
      </c>
      <c r="H89" s="549">
        <f t="shared" ref="H89:R89" si="21">H33+H38+H41-H45</f>
        <v>-168.89900000000003</v>
      </c>
      <c r="I89" s="540">
        <f t="shared" si="21"/>
        <v>1375.6089999999999</v>
      </c>
      <c r="J89" s="540">
        <f t="shared" si="21"/>
        <v>39.898999999999774</v>
      </c>
      <c r="K89" s="540">
        <f t="shared" si="21"/>
        <v>599.13099999999986</v>
      </c>
      <c r="L89" s="540">
        <f t="shared" si="21"/>
        <v>93.595000000000198</v>
      </c>
      <c r="M89" s="540">
        <f t="shared" si="21"/>
        <v>4921</v>
      </c>
      <c r="N89" s="540">
        <f t="shared" si="21"/>
        <v>6632</v>
      </c>
      <c r="O89" s="540">
        <f t="shared" si="21"/>
        <v>37</v>
      </c>
      <c r="P89" s="540">
        <f t="shared" si="21"/>
        <v>27</v>
      </c>
      <c r="Q89" s="540">
        <f t="shared" si="21"/>
        <v>35</v>
      </c>
      <c r="R89" s="540">
        <f t="shared" si="21"/>
        <v>36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550">
        <v>0</v>
      </c>
      <c r="G90" s="186" t="s">
        <v>206</v>
      </c>
      <c r="H90" s="551">
        <f t="shared" ref="H90:R90" si="22">H89/H33</f>
        <v>-0.12763431531983585</v>
      </c>
      <c r="I90" s="552">
        <f t="shared" si="22"/>
        <v>0.49578552622805766</v>
      </c>
      <c r="J90" s="552">
        <f t="shared" si="22"/>
        <v>2.7460305443333156E-2</v>
      </c>
      <c r="K90" s="552">
        <f t="shared" si="22"/>
        <v>0.26030793908996419</v>
      </c>
      <c r="L90" s="552">
        <f t="shared" si="22"/>
        <v>5.2847091532551647E-2</v>
      </c>
      <c r="M90" s="552">
        <f t="shared" si="22"/>
        <v>0.72431557256402712</v>
      </c>
      <c r="N90" s="552">
        <f t="shared" si="22"/>
        <v>0.75492316448491747</v>
      </c>
      <c r="O90" s="552">
        <f t="shared" si="22"/>
        <v>1.712962962962963E-2</v>
      </c>
      <c r="P90" s="552">
        <f t="shared" si="22"/>
        <v>1.2385321100917432E-2</v>
      </c>
      <c r="Q90" s="552">
        <f t="shared" si="22"/>
        <v>1.5916325602546612E-2</v>
      </c>
      <c r="R90" s="552">
        <f t="shared" si="22"/>
        <v>1.6216216216216217E-2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548"/>
      <c r="G91" s="18" t="s">
        <v>210</v>
      </c>
      <c r="H91" s="553">
        <f t="shared" ref="H91:R91" si="23">-H33/(H38+H41)</f>
        <v>0.80034885500199893</v>
      </c>
      <c r="I91" s="553">
        <f t="shared" si="23"/>
        <v>1.7385167933301628</v>
      </c>
      <c r="J91" s="553">
        <f t="shared" si="23"/>
        <v>0.8522203055504558</v>
      </c>
      <c r="K91" s="553">
        <f t="shared" si="23"/>
        <v>1.0055269328209637</v>
      </c>
      <c r="L91" s="553">
        <f t="shared" si="23"/>
        <v>0.86302443246024785</v>
      </c>
      <c r="M91" s="553">
        <f t="shared" si="23"/>
        <v>2.4134991119005327</v>
      </c>
      <c r="N91" s="553">
        <f t="shared" si="23"/>
        <v>1.791394779771615</v>
      </c>
      <c r="O91" s="553">
        <f t="shared" si="23"/>
        <v>0.85953044170314363</v>
      </c>
      <c r="P91" s="553">
        <f t="shared" si="23"/>
        <v>0.85725521038143926</v>
      </c>
      <c r="Q91" s="553">
        <f t="shared" si="23"/>
        <v>0.86100234925606889</v>
      </c>
      <c r="R91" s="553">
        <f t="shared" si="23"/>
        <v>0.86247086247086246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548"/>
      <c r="G92" s="539" t="s">
        <v>214</v>
      </c>
      <c r="H92" s="549">
        <f>H46</f>
        <v>-330.10500000000002</v>
      </c>
      <c r="I92" s="549">
        <f t="shared" ref="I92:R92" si="24">I46</f>
        <v>1178.644</v>
      </c>
      <c r="J92" s="549">
        <f t="shared" si="24"/>
        <v>-251.9530000000002</v>
      </c>
      <c r="K92" s="549">
        <f t="shared" si="24"/>
        <v>12.65099999999984</v>
      </c>
      <c r="L92" s="549">
        <f t="shared" si="24"/>
        <v>-281.09399999999982</v>
      </c>
      <c r="M92" s="549">
        <f t="shared" si="24"/>
        <v>3979</v>
      </c>
      <c r="N92" s="549">
        <f t="shared" si="24"/>
        <v>3881</v>
      </c>
      <c r="O92" s="549">
        <f t="shared" si="24"/>
        <v>-353</v>
      </c>
      <c r="P92" s="549">
        <f t="shared" si="24"/>
        <v>-363</v>
      </c>
      <c r="Q92" s="549">
        <f t="shared" si="24"/>
        <v>-355</v>
      </c>
      <c r="R92" s="549">
        <f t="shared" si="24"/>
        <v>-354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550">
        <v>-0.3</v>
      </c>
      <c r="E93" s="550">
        <v>0</v>
      </c>
      <c r="G93" s="18" t="s">
        <v>218</v>
      </c>
      <c r="H93" s="554">
        <f>H46/H33</f>
        <v>-0.24945515165071674</v>
      </c>
      <c r="I93" s="555">
        <f t="shared" ref="I93:R93" si="25">I46/I33</f>
        <v>0.42479704318272332</v>
      </c>
      <c r="J93" s="555">
        <f t="shared" si="25"/>
        <v>-0.17340550734013793</v>
      </c>
      <c r="K93" s="555">
        <f t="shared" si="25"/>
        <v>5.496553737708609E-3</v>
      </c>
      <c r="L93" s="555">
        <f t="shared" si="25"/>
        <v>-0.15871574707250422</v>
      </c>
      <c r="M93" s="555">
        <f t="shared" si="25"/>
        <v>0.58566382101854575</v>
      </c>
      <c r="N93" s="555">
        <f t="shared" si="25"/>
        <v>0.44177575412635173</v>
      </c>
      <c r="O93" s="555">
        <f t="shared" si="25"/>
        <v>-0.16342592592592592</v>
      </c>
      <c r="P93" s="555">
        <f t="shared" si="25"/>
        <v>-0.1665137614678899</v>
      </c>
      <c r="Q93" s="555">
        <f t="shared" si="25"/>
        <v>-0.16143701682582992</v>
      </c>
      <c r="R93" s="555">
        <f t="shared" si="25"/>
        <v>-0.15945945945945947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548"/>
      <c r="G94" s="186" t="s">
        <v>222</v>
      </c>
      <c r="H94" s="549">
        <f>H29+H30</f>
        <v>-327.40199999999999</v>
      </c>
      <c r="I94" s="549">
        <f t="shared" ref="I94:R94" si="26">I29+I30</f>
        <v>851.43200000000002</v>
      </c>
      <c r="J94" s="549">
        <f t="shared" si="26"/>
        <v>599.47900000000004</v>
      </c>
      <c r="K94" s="549">
        <f t="shared" si="26"/>
        <v>612.13</v>
      </c>
      <c r="L94" s="549">
        <f t="shared" si="26"/>
        <v>343.21800000000002</v>
      </c>
      <c r="M94" s="549">
        <f t="shared" si="26"/>
        <v>4338</v>
      </c>
      <c r="N94" s="549">
        <f t="shared" si="26"/>
        <v>8219</v>
      </c>
      <c r="O94" s="549">
        <f t="shared" si="26"/>
        <v>7866</v>
      </c>
      <c r="P94" s="549">
        <f t="shared" si="26"/>
        <v>7503</v>
      </c>
      <c r="Q94" s="549">
        <f t="shared" si="26"/>
        <v>7148</v>
      </c>
      <c r="R94" s="549">
        <f t="shared" si="26"/>
        <v>6794</v>
      </c>
    </row>
    <row r="95" spans="1:18" x14ac:dyDescent="0.2">
      <c r="G95" s="68" t="s">
        <v>223</v>
      </c>
      <c r="H95" s="545">
        <f t="shared" ref="H95:R95" si="27">H87</f>
        <v>2011</v>
      </c>
      <c r="I95" s="545">
        <f t="shared" si="27"/>
        <v>2012</v>
      </c>
      <c r="J95" s="545">
        <f t="shared" si="27"/>
        <v>2013</v>
      </c>
      <c r="K95" s="545">
        <f t="shared" si="27"/>
        <v>2014</v>
      </c>
      <c r="L95" s="545">
        <f t="shared" si="27"/>
        <v>2015</v>
      </c>
      <c r="M95" s="545">
        <f t="shared" si="27"/>
        <v>2016</v>
      </c>
      <c r="N95" s="545">
        <f t="shared" si="27"/>
        <v>2017</v>
      </c>
      <c r="O95" s="545">
        <f t="shared" si="27"/>
        <v>2018</v>
      </c>
      <c r="P95" s="545">
        <f t="shared" si="27"/>
        <v>2019</v>
      </c>
      <c r="Q95" s="545">
        <f t="shared" si="27"/>
        <v>2020</v>
      </c>
      <c r="R95" s="545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548"/>
      <c r="F96" s="69"/>
      <c r="G96" s="539" t="s">
        <v>227</v>
      </c>
      <c r="H96" s="549">
        <f t="shared" ref="H96:R96" si="28">H6+H12</f>
        <v>48.052999999999997</v>
      </c>
      <c r="I96" s="540">
        <f t="shared" si="28"/>
        <v>161.45500000000001</v>
      </c>
      <c r="J96" s="540">
        <f t="shared" si="28"/>
        <v>49.098999999999997</v>
      </c>
      <c r="K96" s="540">
        <f t="shared" si="28"/>
        <v>372.67700000000002</v>
      </c>
      <c r="L96" s="540">
        <f t="shared" si="28"/>
        <v>8897.2939999999999</v>
      </c>
      <c r="M96" s="540">
        <f t="shared" si="28"/>
        <v>8209</v>
      </c>
      <c r="N96" s="540">
        <f t="shared" si="28"/>
        <v>100</v>
      </c>
      <c r="O96" s="540">
        <f t="shared" si="28"/>
        <v>100</v>
      </c>
      <c r="P96" s="540">
        <f t="shared" si="28"/>
        <v>110</v>
      </c>
      <c r="Q96" s="540">
        <f t="shared" si="28"/>
        <v>110</v>
      </c>
      <c r="R96" s="540">
        <f t="shared" si="28"/>
        <v>122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548"/>
      <c r="F97" s="69"/>
      <c r="G97" s="18" t="s">
        <v>230</v>
      </c>
      <c r="H97" s="549">
        <f>H19</f>
        <v>105.89299999999999</v>
      </c>
      <c r="I97" s="549">
        <f t="shared" ref="I97:R97" si="29">I19</f>
        <v>130.69499999999999</v>
      </c>
      <c r="J97" s="549">
        <f t="shared" si="29"/>
        <v>105.477</v>
      </c>
      <c r="K97" s="549">
        <f t="shared" si="29"/>
        <v>137.779</v>
      </c>
      <c r="L97" s="549">
        <f t="shared" si="29"/>
        <v>8859.1560000000009</v>
      </c>
      <c r="M97" s="549">
        <f t="shared" si="29"/>
        <v>8252</v>
      </c>
      <c r="N97" s="549">
        <f t="shared" si="29"/>
        <v>122</v>
      </c>
      <c r="O97" s="549">
        <f t="shared" si="29"/>
        <v>135</v>
      </c>
      <c r="P97" s="549">
        <f t="shared" si="29"/>
        <v>135</v>
      </c>
      <c r="Q97" s="549">
        <f t="shared" si="29"/>
        <v>135</v>
      </c>
      <c r="R97" s="549">
        <f t="shared" si="29"/>
        <v>135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548"/>
      <c r="F98" s="69"/>
      <c r="G98" s="18" t="s">
        <v>234</v>
      </c>
      <c r="H98" s="549">
        <f t="shared" ref="H98:R98" si="30">H97-H96</f>
        <v>57.839999999999989</v>
      </c>
      <c r="I98" s="540">
        <f t="shared" si="30"/>
        <v>-30.760000000000019</v>
      </c>
      <c r="J98" s="540">
        <f t="shared" si="30"/>
        <v>56.378000000000007</v>
      </c>
      <c r="K98" s="540">
        <f t="shared" si="30"/>
        <v>-234.89800000000002</v>
      </c>
      <c r="L98" s="540">
        <f t="shared" si="30"/>
        <v>-38.13799999999901</v>
      </c>
      <c r="M98" s="540">
        <f t="shared" si="30"/>
        <v>43</v>
      </c>
      <c r="N98" s="540">
        <f t="shared" si="30"/>
        <v>22</v>
      </c>
      <c r="O98" s="540">
        <f t="shared" si="30"/>
        <v>35</v>
      </c>
      <c r="P98" s="540">
        <f t="shared" si="30"/>
        <v>25</v>
      </c>
      <c r="Q98" s="540">
        <f t="shared" si="30"/>
        <v>25</v>
      </c>
      <c r="R98" s="540">
        <f t="shared" si="30"/>
        <v>13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550">
        <v>0.4</v>
      </c>
      <c r="F99" s="69"/>
      <c r="G99" s="18" t="s">
        <v>238</v>
      </c>
      <c r="H99" s="556">
        <f t="shared" ref="H99:R99" si="31">H98/H33</f>
        <v>4.3708777423781681E-2</v>
      </c>
      <c r="I99" s="552">
        <f t="shared" si="31"/>
        <v>-1.1086262729289401E-2</v>
      </c>
      <c r="J99" s="552">
        <f t="shared" si="31"/>
        <v>3.8801902310439999E-2</v>
      </c>
      <c r="K99" s="552">
        <f t="shared" si="31"/>
        <v>-0.10205750374518166</v>
      </c>
      <c r="L99" s="552">
        <f t="shared" si="31"/>
        <v>-2.1534081701676352E-2</v>
      </c>
      <c r="M99" s="552">
        <f t="shared" si="31"/>
        <v>6.3291139240506328E-3</v>
      </c>
      <c r="N99" s="552">
        <f t="shared" si="31"/>
        <v>2.5042686397268072E-3</v>
      </c>
      <c r="O99" s="552">
        <f t="shared" si="31"/>
        <v>1.6203703703703703E-2</v>
      </c>
      <c r="P99" s="552">
        <f t="shared" si="31"/>
        <v>1.1467889908256881E-2</v>
      </c>
      <c r="Q99" s="552">
        <f t="shared" si="31"/>
        <v>1.1368804001819008E-2</v>
      </c>
      <c r="R99" s="552">
        <f t="shared" si="31"/>
        <v>5.8558558558558559E-3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557">
        <v>0</v>
      </c>
      <c r="E100" s="557">
        <v>5</v>
      </c>
      <c r="F100" s="69"/>
      <c r="G100" s="18" t="s">
        <v>242</v>
      </c>
      <c r="H100" s="553">
        <f t="shared" ref="H100:R100" si="32">H98/H89</f>
        <v>-0.34245318207923064</v>
      </c>
      <c r="I100" s="553">
        <f t="shared" si="32"/>
        <v>-2.236100519842486E-2</v>
      </c>
      <c r="J100" s="553">
        <f t="shared" si="32"/>
        <v>1.4130178701220664</v>
      </c>
      <c r="K100" s="553">
        <f t="shared" si="32"/>
        <v>-0.3920645067606251</v>
      </c>
      <c r="L100" s="553">
        <f t="shared" si="32"/>
        <v>-0.4074790319995612</v>
      </c>
      <c r="M100" s="553">
        <f t="shared" si="32"/>
        <v>8.7380613696403167E-3</v>
      </c>
      <c r="N100" s="553">
        <f t="shared" si="32"/>
        <v>3.3172496984318458E-3</v>
      </c>
      <c r="O100" s="553">
        <f t="shared" si="32"/>
        <v>0.94594594594594594</v>
      </c>
      <c r="P100" s="553">
        <f t="shared" si="32"/>
        <v>0.92592592592592593</v>
      </c>
      <c r="Q100" s="553">
        <f t="shared" si="32"/>
        <v>0.7142857142857143</v>
      </c>
      <c r="R100" s="553">
        <f t="shared" si="32"/>
        <v>0.3611111111111111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548"/>
      <c r="F101" s="69"/>
      <c r="G101" s="18" t="s">
        <v>246</v>
      </c>
      <c r="H101" s="549">
        <f t="shared" ref="H101:R101" si="33">-(H75+H77+H78+H79+H80+H81)</f>
        <v>3.2850000000000001</v>
      </c>
      <c r="I101" s="549">
        <f t="shared" si="33"/>
        <v>1.1419999999999999</v>
      </c>
      <c r="J101" s="549">
        <f t="shared" si="33"/>
        <v>0</v>
      </c>
      <c r="K101" s="549">
        <f t="shared" si="33"/>
        <v>0</v>
      </c>
      <c r="L101" s="549">
        <f t="shared" si="33"/>
        <v>0</v>
      </c>
      <c r="M101" s="549">
        <f t="shared" si="33"/>
        <v>0</v>
      </c>
      <c r="N101" s="549">
        <f t="shared" si="33"/>
        <v>0</v>
      </c>
      <c r="O101" s="549">
        <f t="shared" si="33"/>
        <v>0</v>
      </c>
      <c r="P101" s="549">
        <f t="shared" si="33"/>
        <v>0</v>
      </c>
      <c r="Q101" s="549">
        <f t="shared" si="33"/>
        <v>0</v>
      </c>
      <c r="R101" s="549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557">
        <v>1.2</v>
      </c>
      <c r="F102" s="69"/>
      <c r="G102" s="18" t="s">
        <v>250</v>
      </c>
      <c r="H102" s="558">
        <f t="shared" ref="H102:R102" si="34">H89/H101</f>
        <v>-51.415220700152211</v>
      </c>
      <c r="I102" s="553">
        <f t="shared" si="34"/>
        <v>1204.561295971979</v>
      </c>
      <c r="J102" s="553" t="e">
        <f t="shared" si="34"/>
        <v>#DIV/0!</v>
      </c>
      <c r="K102" s="553" t="e">
        <f t="shared" si="34"/>
        <v>#DIV/0!</v>
      </c>
      <c r="L102" s="553" t="e">
        <f t="shared" si="34"/>
        <v>#DIV/0!</v>
      </c>
      <c r="M102" s="553" t="e">
        <f t="shared" si="34"/>
        <v>#DIV/0!</v>
      </c>
      <c r="N102" s="553" t="e">
        <f t="shared" si="34"/>
        <v>#DIV/0!</v>
      </c>
      <c r="O102" s="553" t="e">
        <f t="shared" si="34"/>
        <v>#DIV/0!</v>
      </c>
      <c r="P102" s="553" t="e">
        <f t="shared" si="34"/>
        <v>#DIV/0!</v>
      </c>
      <c r="Q102" s="553" t="e">
        <f t="shared" si="34"/>
        <v>#DIV/0!</v>
      </c>
      <c r="R102" s="553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557">
        <v>0</v>
      </c>
      <c r="F103" s="69"/>
      <c r="G103" s="539" t="s">
        <v>254</v>
      </c>
      <c r="H103" s="549">
        <f t="shared" ref="H103:R103" si="35">H5-H20</f>
        <v>7.6940000000000026</v>
      </c>
      <c r="I103" s="549">
        <f t="shared" si="35"/>
        <v>109.292</v>
      </c>
      <c r="J103" s="549">
        <f t="shared" si="35"/>
        <v>35.203999999999979</v>
      </c>
      <c r="K103" s="549">
        <f t="shared" si="35"/>
        <v>345.54200000000003</v>
      </c>
      <c r="L103" s="549">
        <f t="shared" si="35"/>
        <v>101.67099999999846</v>
      </c>
      <c r="M103" s="549">
        <f t="shared" si="35"/>
        <v>221</v>
      </c>
      <c r="N103" s="549">
        <f t="shared" si="35"/>
        <v>194</v>
      </c>
      <c r="O103" s="549">
        <f t="shared" si="35"/>
        <v>188</v>
      </c>
      <c r="P103" s="549">
        <f t="shared" si="35"/>
        <v>215</v>
      </c>
      <c r="Q103" s="549">
        <f t="shared" si="35"/>
        <v>223</v>
      </c>
      <c r="R103" s="549">
        <f t="shared" si="35"/>
        <v>242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557">
        <v>1</v>
      </c>
      <c r="F104" s="69"/>
      <c r="G104" s="18" t="s">
        <v>258</v>
      </c>
      <c r="H104" s="558">
        <f t="shared" ref="H104:R104" si="36">H5/H20</f>
        <v>1.072658249364925</v>
      </c>
      <c r="I104" s="558">
        <f t="shared" si="36"/>
        <v>1.8362370404376602</v>
      </c>
      <c r="J104" s="558">
        <f t="shared" si="36"/>
        <v>1.3337599666277955</v>
      </c>
      <c r="K104" s="558">
        <f t="shared" si="36"/>
        <v>3.5079438811429902</v>
      </c>
      <c r="L104" s="558">
        <f t="shared" si="36"/>
        <v>1.0114763754019005</v>
      </c>
      <c r="M104" s="558">
        <f t="shared" si="36"/>
        <v>1.0267813863305866</v>
      </c>
      <c r="N104" s="558" t="e">
        <f t="shared" si="36"/>
        <v>#DIV/0!</v>
      </c>
      <c r="O104" s="558" t="e">
        <f t="shared" si="36"/>
        <v>#DIV/0!</v>
      </c>
      <c r="P104" s="558" t="e">
        <f t="shared" si="36"/>
        <v>#DIV/0!</v>
      </c>
      <c r="Q104" s="558" t="e">
        <f t="shared" si="36"/>
        <v>#DIV/0!</v>
      </c>
      <c r="R104" s="558" t="e">
        <f t="shared" si="36"/>
        <v>#DIV/0!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557">
        <v>1</v>
      </c>
      <c r="F105" s="69"/>
      <c r="G105" s="186" t="s">
        <v>262</v>
      </c>
      <c r="H105" s="558">
        <f t="shared" ref="H105:R105" si="37">-H6/((H38+H41-H45+H47)/12)</f>
        <v>0.38650805141322003</v>
      </c>
      <c r="I105" s="558">
        <f t="shared" si="37"/>
        <v>1.3850822666490326</v>
      </c>
      <c r="J105" s="558">
        <f t="shared" si="37"/>
        <v>0.41695569437062951</v>
      </c>
      <c r="K105" s="558">
        <f t="shared" si="37"/>
        <v>2.6268090382750469</v>
      </c>
      <c r="L105" s="558">
        <f t="shared" si="37"/>
        <v>64.113975032382001</v>
      </c>
      <c r="M105" s="558">
        <f t="shared" si="37"/>
        <v>53.04684975767367</v>
      </c>
      <c r="N105" s="558">
        <f t="shared" si="37"/>
        <v>0.55736182071528106</v>
      </c>
      <c r="O105" s="558">
        <f t="shared" si="37"/>
        <v>0.56523787093735278</v>
      </c>
      <c r="P105" s="558">
        <f t="shared" si="37"/>
        <v>0.61309800278680915</v>
      </c>
      <c r="Q105" s="558">
        <f t="shared" si="37"/>
        <v>0.60998151571164505</v>
      </c>
      <c r="R105" s="558">
        <f t="shared" si="37"/>
        <v>0.67032967032967028</v>
      </c>
    </row>
    <row r="106" spans="1:18" x14ac:dyDescent="0.2">
      <c r="C106" s="16"/>
      <c r="F106" s="69"/>
      <c r="G106" s="68" t="s">
        <v>263</v>
      </c>
      <c r="H106" s="545">
        <f t="shared" ref="H106:R106" si="38">H95</f>
        <v>2011</v>
      </c>
      <c r="I106" s="545">
        <f t="shared" si="38"/>
        <v>2012</v>
      </c>
      <c r="J106" s="545">
        <f t="shared" si="38"/>
        <v>2013</v>
      </c>
      <c r="K106" s="545">
        <f t="shared" si="38"/>
        <v>2014</v>
      </c>
      <c r="L106" s="545">
        <f t="shared" si="38"/>
        <v>2015</v>
      </c>
      <c r="M106" s="545">
        <f t="shared" si="38"/>
        <v>2016</v>
      </c>
      <c r="N106" s="545">
        <f t="shared" si="38"/>
        <v>2017</v>
      </c>
      <c r="O106" s="545">
        <f t="shared" si="38"/>
        <v>2018</v>
      </c>
      <c r="P106" s="545">
        <f t="shared" si="38"/>
        <v>2019</v>
      </c>
      <c r="Q106" s="545">
        <f t="shared" si="38"/>
        <v>2020</v>
      </c>
      <c r="R106" s="545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550">
        <v>0.6</v>
      </c>
      <c r="F107" s="69"/>
      <c r="G107" s="539" t="s">
        <v>267</v>
      </c>
      <c r="H107" s="556">
        <f t="shared" ref="H107:R107" si="39">H17/H4</f>
        <v>0</v>
      </c>
      <c r="I107" s="556">
        <f t="shared" si="39"/>
        <v>0</v>
      </c>
      <c r="J107" s="556">
        <f t="shared" si="39"/>
        <v>0</v>
      </c>
      <c r="K107" s="556">
        <f t="shared" si="39"/>
        <v>0</v>
      </c>
      <c r="L107" s="556">
        <f t="shared" si="39"/>
        <v>0</v>
      </c>
      <c r="M107" s="556">
        <f t="shared" si="39"/>
        <v>0</v>
      </c>
      <c r="N107" s="556">
        <f t="shared" si="39"/>
        <v>0</v>
      </c>
      <c r="O107" s="556">
        <f t="shared" si="39"/>
        <v>0</v>
      </c>
      <c r="P107" s="556">
        <f t="shared" si="39"/>
        <v>0</v>
      </c>
      <c r="Q107" s="556">
        <f t="shared" si="39"/>
        <v>0</v>
      </c>
      <c r="R107" s="556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550">
        <v>0.4</v>
      </c>
      <c r="F108" s="69"/>
      <c r="G108" s="186" t="s">
        <v>271</v>
      </c>
      <c r="H108" s="556" t="e">
        <f t="shared" ref="H108:R108" si="40">H27/H17</f>
        <v>#DIV/0!</v>
      </c>
      <c r="I108" s="556" t="e">
        <f t="shared" si="40"/>
        <v>#DIV/0!</v>
      </c>
      <c r="J108" s="556" t="e">
        <f t="shared" si="40"/>
        <v>#DIV/0!</v>
      </c>
      <c r="K108" s="556" t="e">
        <f t="shared" si="40"/>
        <v>#DIV/0!</v>
      </c>
      <c r="L108" s="556" t="e">
        <f t="shared" si="40"/>
        <v>#DIV/0!</v>
      </c>
      <c r="M108" s="556" t="e">
        <f t="shared" si="40"/>
        <v>#DIV/0!</v>
      </c>
      <c r="N108" s="556" t="e">
        <f t="shared" si="40"/>
        <v>#DIV/0!</v>
      </c>
      <c r="O108" s="556" t="e">
        <f t="shared" si="40"/>
        <v>#DIV/0!</v>
      </c>
      <c r="P108" s="556" t="e">
        <f t="shared" si="40"/>
        <v>#DIV/0!</v>
      </c>
      <c r="Q108" s="556" t="e">
        <f t="shared" si="40"/>
        <v>#DIV/0!</v>
      </c>
      <c r="R108" s="556" t="e">
        <f t="shared" si="40"/>
        <v>#DIV/0!</v>
      </c>
    </row>
    <row r="109" spans="1:18" x14ac:dyDescent="0.2">
      <c r="C109" s="16"/>
      <c r="F109" s="69"/>
      <c r="G109" s="198" t="s">
        <v>272</v>
      </c>
      <c r="H109" s="545">
        <f t="shared" ref="H109:R109" si="41">H95</f>
        <v>2011</v>
      </c>
      <c r="I109" s="545">
        <f t="shared" si="41"/>
        <v>2012</v>
      </c>
      <c r="J109" s="545">
        <f t="shared" si="41"/>
        <v>2013</v>
      </c>
      <c r="K109" s="545">
        <f t="shared" si="41"/>
        <v>2014</v>
      </c>
      <c r="L109" s="545">
        <f t="shared" si="41"/>
        <v>2015</v>
      </c>
      <c r="M109" s="545">
        <f t="shared" si="41"/>
        <v>2016</v>
      </c>
      <c r="N109" s="545">
        <f t="shared" si="41"/>
        <v>2017</v>
      </c>
      <c r="O109" s="545">
        <f t="shared" si="41"/>
        <v>2018</v>
      </c>
      <c r="P109" s="545">
        <f t="shared" si="41"/>
        <v>2019</v>
      </c>
      <c r="Q109" s="545">
        <f t="shared" si="41"/>
        <v>2020</v>
      </c>
      <c r="R109" s="545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548"/>
      <c r="F110" s="69"/>
      <c r="G110" s="18" t="s">
        <v>276</v>
      </c>
      <c r="H110" s="559">
        <f t="shared" ref="H110:R110" si="42">H10/H4</f>
        <v>0.97599097191044948</v>
      </c>
      <c r="I110" s="559">
        <f t="shared" si="42"/>
        <v>0.95956171965688286</v>
      </c>
      <c r="J110" s="559">
        <f t="shared" si="42"/>
        <v>0.975133619609303</v>
      </c>
      <c r="K110" s="559">
        <f t="shared" si="42"/>
        <v>0.9152429753631347</v>
      </c>
      <c r="L110" s="559">
        <f t="shared" si="42"/>
        <v>0.36694500383083023</v>
      </c>
      <c r="M110" s="559">
        <f t="shared" si="42"/>
        <v>0.51701533375135378</v>
      </c>
      <c r="N110" s="559">
        <f t="shared" si="42"/>
        <v>0.98540695050398674</v>
      </c>
      <c r="O110" s="559">
        <f t="shared" si="42"/>
        <v>0.98548710822911845</v>
      </c>
      <c r="P110" s="559">
        <f t="shared" si="42"/>
        <v>0.98292431101580491</v>
      </c>
      <c r="Q110" s="559">
        <f t="shared" si="42"/>
        <v>0.98177508989865969</v>
      </c>
      <c r="R110" s="559">
        <f t="shared" si="42"/>
        <v>0.97963305840767545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548"/>
      <c r="F111" s="69"/>
      <c r="G111" s="18" t="s">
        <v>280</v>
      </c>
      <c r="H111" s="559">
        <f t="shared" ref="H111:R111" si="43">-(H58)/H15</f>
        <v>1.7152417202228514E-3</v>
      </c>
      <c r="I111" s="559">
        <f t="shared" si="43"/>
        <v>-3.4077527340516433E-3</v>
      </c>
      <c r="J111" s="559">
        <f t="shared" si="43"/>
        <v>1.1598577942962195E-2</v>
      </c>
      <c r="K111" s="559">
        <f t="shared" si="43"/>
        <v>-5.9073493195869249E-2</v>
      </c>
      <c r="L111" s="559">
        <f t="shared" si="43"/>
        <v>4.7446240596002977E-2</v>
      </c>
      <c r="M111" s="559">
        <f t="shared" si="43"/>
        <v>0.53120176405733188</v>
      </c>
      <c r="N111" s="559">
        <f t="shared" si="43"/>
        <v>0.66954198473282445</v>
      </c>
      <c r="O111" s="559">
        <f t="shared" si="43"/>
        <v>4.3866520444931847E-3</v>
      </c>
      <c r="P111" s="559">
        <f t="shared" si="43"/>
        <v>0</v>
      </c>
      <c r="Q111" s="559">
        <f t="shared" si="43"/>
        <v>1.0821609922583868E-3</v>
      </c>
      <c r="R111" s="559">
        <f t="shared" si="43"/>
        <v>1.4604810996563574E-3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548"/>
      <c r="F112" s="69"/>
      <c r="G112" s="539" t="s">
        <v>284</v>
      </c>
      <c r="H112" s="553">
        <f t="shared" ref="H112:R112" si="44">H33/H4</f>
        <v>0.27970844292933511</v>
      </c>
      <c r="I112" s="553">
        <f t="shared" si="44"/>
        <v>0.46752638614347702</v>
      </c>
      <c r="J112" s="553">
        <f t="shared" si="44"/>
        <v>0.25682291650095684</v>
      </c>
      <c r="K112" s="553">
        <f t="shared" si="44"/>
        <v>0.40362161394352936</v>
      </c>
      <c r="L112" s="553">
        <f t="shared" si="44"/>
        <v>0.12511947280428432</v>
      </c>
      <c r="M112" s="553">
        <f t="shared" si="44"/>
        <v>0.38727697657185201</v>
      </c>
      <c r="N112" s="553">
        <f t="shared" si="44"/>
        <v>0.66082443207462016</v>
      </c>
      <c r="O112" s="553">
        <f t="shared" si="44"/>
        <v>0.1667438628994905</v>
      </c>
      <c r="P112" s="553">
        <f t="shared" si="44"/>
        <v>0.17313954411881502</v>
      </c>
      <c r="Q112" s="553">
        <f t="shared" si="44"/>
        <v>0.17971559333115397</v>
      </c>
      <c r="R112" s="553">
        <f t="shared" si="44"/>
        <v>0.18683723278909276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548"/>
      <c r="F113" s="69"/>
      <c r="G113" s="186" t="s">
        <v>288</v>
      </c>
      <c r="H113" s="553">
        <f t="shared" ref="H113:R113" si="45">H33/H15</f>
        <v>0.28658917037093179</v>
      </c>
      <c r="I113" s="553">
        <f t="shared" si="45"/>
        <v>0.48722909278900134</v>
      </c>
      <c r="J113" s="553">
        <f t="shared" si="45"/>
        <v>0.26337202547057653</v>
      </c>
      <c r="K113" s="553">
        <f t="shared" si="45"/>
        <v>0.44099941196859466</v>
      </c>
      <c r="L113" s="553">
        <f t="shared" si="45"/>
        <v>0.34097609041699106</v>
      </c>
      <c r="M113" s="553">
        <f t="shared" si="45"/>
        <v>0.74906284454244765</v>
      </c>
      <c r="N113" s="553">
        <f t="shared" si="45"/>
        <v>0.67061068702290072</v>
      </c>
      <c r="O113" s="553">
        <f t="shared" si="45"/>
        <v>0.16919943600188</v>
      </c>
      <c r="P113" s="553">
        <f t="shared" si="45"/>
        <v>0.17614738202973498</v>
      </c>
      <c r="Q113" s="553">
        <f t="shared" si="45"/>
        <v>0.18305169399816865</v>
      </c>
      <c r="R113" s="553">
        <f t="shared" si="45"/>
        <v>0.19072164948453607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550">
        <v>0.5</v>
      </c>
      <c r="E114" s="550">
        <f>1/3</f>
        <v>0.33333333333333331</v>
      </c>
      <c r="F114" s="69"/>
      <c r="G114" s="18" t="s">
        <v>292</v>
      </c>
      <c r="H114" s="559">
        <f t="shared" ref="H114:R114" si="46">H27/H4</f>
        <v>0.97761747380898611</v>
      </c>
      <c r="I114" s="559">
        <f t="shared" si="46"/>
        <v>0.97797763608260557</v>
      </c>
      <c r="J114" s="559">
        <f t="shared" si="46"/>
        <v>0.98135618026265414</v>
      </c>
      <c r="K114" s="559">
        <f t="shared" si="46"/>
        <v>0.97583872138719807</v>
      </c>
      <c r="L114" s="559">
        <f t="shared" si="46"/>
        <v>0.37412781938686224</v>
      </c>
      <c r="M114" s="559">
        <f t="shared" si="46"/>
        <v>0.52961295103460071</v>
      </c>
      <c r="N114" s="559">
        <f t="shared" si="46"/>
        <v>0.99082292763652779</v>
      </c>
      <c r="O114" s="559">
        <f t="shared" si="46"/>
        <v>0.98957850856878182</v>
      </c>
      <c r="P114" s="559">
        <f t="shared" si="46"/>
        <v>0.9892780557541101</v>
      </c>
      <c r="Q114" s="559">
        <f t="shared" si="46"/>
        <v>0.98896698267407646</v>
      </c>
      <c r="R114" s="559">
        <f t="shared" si="46"/>
        <v>0.98863827638444701</v>
      </c>
    </row>
    <row r="115" spans="1:19" x14ac:dyDescent="0.2">
      <c r="A115" s="77"/>
      <c r="C115" s="77"/>
      <c r="D115" s="78"/>
      <c r="E115" s="79"/>
      <c r="F115" s="69"/>
      <c r="G115" s="537" t="s">
        <v>293</v>
      </c>
      <c r="H115" s="545">
        <f t="shared" ref="H115:R115" si="47">H109</f>
        <v>2011</v>
      </c>
      <c r="I115" s="545">
        <f t="shared" si="47"/>
        <v>2012</v>
      </c>
      <c r="J115" s="545">
        <f t="shared" si="47"/>
        <v>2013</v>
      </c>
      <c r="K115" s="545">
        <f t="shared" si="47"/>
        <v>2014</v>
      </c>
      <c r="L115" s="545">
        <f t="shared" si="47"/>
        <v>2015</v>
      </c>
      <c r="M115" s="545">
        <f t="shared" si="47"/>
        <v>2016</v>
      </c>
      <c r="N115" s="545">
        <f t="shared" si="47"/>
        <v>2017</v>
      </c>
      <c r="O115" s="545">
        <f t="shared" si="47"/>
        <v>2018</v>
      </c>
      <c r="P115" s="545">
        <f t="shared" si="47"/>
        <v>2019</v>
      </c>
      <c r="Q115" s="545">
        <f t="shared" si="47"/>
        <v>2020</v>
      </c>
      <c r="R115" s="545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550">
        <v>0.05</v>
      </c>
      <c r="G116" s="539" t="s">
        <v>297</v>
      </c>
      <c r="H116" s="552">
        <f t="shared" ref="H116:R116" si="48">H35/H33</f>
        <v>0.34836439699419036</v>
      </c>
      <c r="I116" s="552">
        <f t="shared" si="48"/>
        <v>0.16429653950742537</v>
      </c>
      <c r="J116" s="552">
        <f t="shared" si="48"/>
        <v>0.29676318162109333</v>
      </c>
      <c r="K116" s="552">
        <f t="shared" si="48"/>
        <v>0.2891710374935263</v>
      </c>
      <c r="L116" s="552">
        <f>L35/L33</f>
        <v>0.31615767568785347</v>
      </c>
      <c r="M116" s="552">
        <f t="shared" si="48"/>
        <v>0.10420959670297321</v>
      </c>
      <c r="N116" s="552">
        <f t="shared" si="48"/>
        <v>6.8298235628912921E-2</v>
      </c>
      <c r="O116" s="552">
        <f t="shared" si="48"/>
        <v>0.41666666666666669</v>
      </c>
      <c r="P116" s="552">
        <f t="shared" si="48"/>
        <v>0.43119266055045874</v>
      </c>
      <c r="Q116" s="552">
        <f t="shared" si="48"/>
        <v>0.42746703046839474</v>
      </c>
      <c r="R116" s="552">
        <f t="shared" si="48"/>
        <v>0.42792792792792794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550">
        <v>0.95</v>
      </c>
      <c r="G117" s="18" t="s">
        <v>301</v>
      </c>
      <c r="H117" s="559">
        <f t="shared" ref="H117:R117" si="49">(H36+H34)/H33</f>
        <v>0.70641364342584922</v>
      </c>
      <c r="I117" s="559">
        <f t="shared" si="49"/>
        <v>0.83510265425168628</v>
      </c>
      <c r="J117" s="559">
        <f t="shared" si="49"/>
        <v>0.70323681837890661</v>
      </c>
      <c r="K117" s="559">
        <f t="shared" si="49"/>
        <v>0.71121868732686133</v>
      </c>
      <c r="L117" s="559">
        <f t="shared" si="49"/>
        <v>0.68385022921391958</v>
      </c>
      <c r="M117" s="559">
        <f t="shared" si="49"/>
        <v>0.89564321460111862</v>
      </c>
      <c r="N117" s="559">
        <f t="shared" si="49"/>
        <v>0.93056346044393856</v>
      </c>
      <c r="O117" s="559">
        <f t="shared" si="49"/>
        <v>0.57870370370370372</v>
      </c>
      <c r="P117" s="559">
        <f t="shared" si="49"/>
        <v>0.56422018348623848</v>
      </c>
      <c r="Q117" s="559">
        <f t="shared" si="49"/>
        <v>0.56389267849022284</v>
      </c>
      <c r="R117" s="559">
        <f t="shared" si="49"/>
        <v>0.56306306306306309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550">
        <v>0.95</v>
      </c>
      <c r="G118" s="186" t="s">
        <v>305</v>
      </c>
      <c r="H118" s="552">
        <f t="shared" ref="H118:R118" si="50">H38/(H38+H41)</f>
        <v>0.1040565280580909</v>
      </c>
      <c r="I118" s="552">
        <f t="shared" si="50"/>
        <v>1.0883724602292913E-3</v>
      </c>
      <c r="J118" s="552">
        <f t="shared" si="50"/>
        <v>1.0188143394159149E-3</v>
      </c>
      <c r="K118" s="552">
        <f t="shared" si="50"/>
        <v>7.850682380263986E-4</v>
      </c>
      <c r="L118" s="552">
        <f t="shared" si="50"/>
        <v>9.2878336688356148E-4</v>
      </c>
      <c r="M118" s="552">
        <f t="shared" si="50"/>
        <v>1.0657193605683837E-3</v>
      </c>
      <c r="N118" s="552">
        <f t="shared" si="50"/>
        <v>6.1174551386623159E-4</v>
      </c>
      <c r="O118" s="552">
        <f t="shared" si="50"/>
        <v>1.1937922801432551E-3</v>
      </c>
      <c r="P118" s="552">
        <f t="shared" si="50"/>
        <v>1.1797090051120724E-3</v>
      </c>
      <c r="Q118" s="552">
        <f t="shared" si="50"/>
        <v>1.5661707126076742E-3</v>
      </c>
      <c r="R118" s="552">
        <f t="shared" si="50"/>
        <v>1.554001554001554E-3</v>
      </c>
    </row>
    <row r="119" spans="1:19" x14ac:dyDescent="0.2">
      <c r="A119" s="77"/>
      <c r="C119" s="78"/>
      <c r="D119" s="78"/>
      <c r="E119" s="79"/>
      <c r="F119" s="69"/>
      <c r="G119" s="537" t="s">
        <v>306</v>
      </c>
      <c r="H119" s="545">
        <f>H115</f>
        <v>2011</v>
      </c>
      <c r="I119" s="545">
        <f t="shared" ref="I119:R119" si="51">I115</f>
        <v>2012</v>
      </c>
      <c r="J119" s="545">
        <f t="shared" si="51"/>
        <v>2013</v>
      </c>
      <c r="K119" s="545">
        <f t="shared" si="51"/>
        <v>2014</v>
      </c>
      <c r="L119" s="545">
        <f t="shared" si="51"/>
        <v>2015</v>
      </c>
      <c r="M119" s="545">
        <f t="shared" si="51"/>
        <v>2016</v>
      </c>
      <c r="N119" s="545">
        <f t="shared" si="51"/>
        <v>2017</v>
      </c>
      <c r="O119" s="545">
        <f t="shared" si="51"/>
        <v>2018</v>
      </c>
      <c r="P119" s="545">
        <f t="shared" si="51"/>
        <v>2019</v>
      </c>
      <c r="Q119" s="545">
        <f t="shared" si="51"/>
        <v>2020</v>
      </c>
      <c r="R119" s="545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560">
        <v>0.5</v>
      </c>
      <c r="E120" s="561" t="s">
        <v>310</v>
      </c>
      <c r="F120" s="4"/>
      <c r="G120" s="539" t="s">
        <v>311</v>
      </c>
      <c r="H120" s="553" t="str">
        <f t="shared" ref="H120:R120" si="52">IF(H116&lt;$D$120,$E$120,H35/H4)</f>
        <v>N/A</v>
      </c>
      <c r="I120" s="553" t="str">
        <f t="shared" si="52"/>
        <v>N/A</v>
      </c>
      <c r="J120" s="553" t="str">
        <f t="shared" si="52"/>
        <v>N/A</v>
      </c>
      <c r="K120" s="553" t="str">
        <f t="shared" si="52"/>
        <v>N/A</v>
      </c>
      <c r="L120" s="553" t="str">
        <f t="shared" si="52"/>
        <v>N/A</v>
      </c>
      <c r="M120" s="553" t="str">
        <f t="shared" si="52"/>
        <v>N/A</v>
      </c>
      <c r="N120" s="553" t="str">
        <f t="shared" si="52"/>
        <v>N/A</v>
      </c>
      <c r="O120" s="553" t="str">
        <f t="shared" si="52"/>
        <v>N/A</v>
      </c>
      <c r="P120" s="553" t="str">
        <f t="shared" si="52"/>
        <v>N/A</v>
      </c>
      <c r="Q120" s="553" t="str">
        <f t="shared" si="52"/>
        <v>N/A</v>
      </c>
      <c r="R120" s="553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560">
        <v>0.5</v>
      </c>
      <c r="E121" s="561" t="s">
        <v>310</v>
      </c>
      <c r="F121" s="4"/>
      <c r="G121" s="18" t="s">
        <v>315</v>
      </c>
      <c r="H121" s="553" t="str">
        <f t="shared" ref="H121:R121" si="53">IF(H116&lt;$D$121,$E$121,H35/H15)</f>
        <v>N/A</v>
      </c>
      <c r="I121" s="553" t="str">
        <f t="shared" si="53"/>
        <v>N/A</v>
      </c>
      <c r="J121" s="553" t="str">
        <f t="shared" si="53"/>
        <v>N/A</v>
      </c>
      <c r="K121" s="553" t="str">
        <f t="shared" si="53"/>
        <v>N/A</v>
      </c>
      <c r="L121" s="553" t="str">
        <f t="shared" si="53"/>
        <v>N/A</v>
      </c>
      <c r="M121" s="553" t="str">
        <f t="shared" si="53"/>
        <v>N/A</v>
      </c>
      <c r="N121" s="553" t="str">
        <f t="shared" si="53"/>
        <v>N/A</v>
      </c>
      <c r="O121" s="553" t="str">
        <f t="shared" si="53"/>
        <v>N/A</v>
      </c>
      <c r="P121" s="553" t="str">
        <f t="shared" si="53"/>
        <v>N/A</v>
      </c>
      <c r="Q121" s="553" t="str">
        <f t="shared" si="53"/>
        <v>N/A</v>
      </c>
      <c r="R121" s="553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560">
        <v>0.5</v>
      </c>
      <c r="E122" s="561" t="s">
        <v>310</v>
      </c>
      <c r="F122" s="4"/>
      <c r="G122" s="539" t="s">
        <v>318</v>
      </c>
      <c r="H122" s="559" t="str">
        <f t="shared" ref="H122:R122" si="54">IF(H116&lt;$D$122,$E$122,H46/H33)</f>
        <v>N/A</v>
      </c>
      <c r="I122" s="559" t="str">
        <f t="shared" si="54"/>
        <v>N/A</v>
      </c>
      <c r="J122" s="559" t="str">
        <f t="shared" si="54"/>
        <v>N/A</v>
      </c>
      <c r="K122" s="559" t="str">
        <f t="shared" si="54"/>
        <v>N/A</v>
      </c>
      <c r="L122" s="559" t="str">
        <f t="shared" si="54"/>
        <v>N/A</v>
      </c>
      <c r="M122" s="559" t="str">
        <f>IF(M116&lt;$D$122,$E$122,M46/M33)</f>
        <v>N/A</v>
      </c>
      <c r="N122" s="559" t="str">
        <f t="shared" si="54"/>
        <v>N/A</v>
      </c>
      <c r="O122" s="559" t="str">
        <f t="shared" si="54"/>
        <v>N/A</v>
      </c>
      <c r="P122" s="559" t="str">
        <f t="shared" si="54"/>
        <v>N/A</v>
      </c>
      <c r="Q122" s="559" t="str">
        <f t="shared" si="54"/>
        <v>N/A</v>
      </c>
      <c r="R122" s="559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560">
        <v>0.5</v>
      </c>
      <c r="E123" s="561" t="s">
        <v>310</v>
      </c>
      <c r="F123" s="4"/>
      <c r="G123" s="18" t="s">
        <v>322</v>
      </c>
      <c r="H123" s="559" t="str">
        <f t="shared" ref="H123:R123" si="55">IF(H116&lt;$D$122,$E$123,H51/H33)</f>
        <v>N/A</v>
      </c>
      <c r="I123" s="559" t="str">
        <f t="shared" si="55"/>
        <v>N/A</v>
      </c>
      <c r="J123" s="559" t="str">
        <f t="shared" si="55"/>
        <v>N/A</v>
      </c>
      <c r="K123" s="559" t="str">
        <f t="shared" si="55"/>
        <v>N/A</v>
      </c>
      <c r="L123" s="559" t="str">
        <f t="shared" si="55"/>
        <v>N/A</v>
      </c>
      <c r="M123" s="559" t="str">
        <f t="shared" si="55"/>
        <v>N/A</v>
      </c>
      <c r="N123" s="559" t="str">
        <f t="shared" si="55"/>
        <v>N/A</v>
      </c>
      <c r="O123" s="559" t="str">
        <f t="shared" si="55"/>
        <v>N/A</v>
      </c>
      <c r="P123" s="559" t="str">
        <f t="shared" si="55"/>
        <v>N/A</v>
      </c>
      <c r="Q123" s="559" t="str">
        <f t="shared" si="55"/>
        <v>N/A</v>
      </c>
      <c r="R123" s="559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560">
        <v>0.5</v>
      </c>
      <c r="E124" s="561" t="s">
        <v>310</v>
      </c>
      <c r="F124" s="4"/>
      <c r="G124" s="18" t="s">
        <v>326</v>
      </c>
      <c r="H124" s="559" t="str">
        <f t="shared" ref="H124:R124" si="56">IF(H116&lt;$D$124,$E$124,H51/H4)</f>
        <v>N/A</v>
      </c>
      <c r="I124" s="559" t="str">
        <f t="shared" si="56"/>
        <v>N/A</v>
      </c>
      <c r="J124" s="559" t="str">
        <f t="shared" si="56"/>
        <v>N/A</v>
      </c>
      <c r="K124" s="559" t="str">
        <f t="shared" si="56"/>
        <v>N/A</v>
      </c>
      <c r="L124" s="559" t="str">
        <f t="shared" si="56"/>
        <v>N/A</v>
      </c>
      <c r="M124" s="559" t="str">
        <f t="shared" si="56"/>
        <v>N/A</v>
      </c>
      <c r="N124" s="559" t="str">
        <f t="shared" si="56"/>
        <v>N/A</v>
      </c>
      <c r="O124" s="559" t="str">
        <f t="shared" si="56"/>
        <v>N/A</v>
      </c>
      <c r="P124" s="559" t="str">
        <f t="shared" si="56"/>
        <v>N/A</v>
      </c>
      <c r="Q124" s="559" t="str">
        <f t="shared" si="56"/>
        <v>N/A</v>
      </c>
      <c r="R124" s="559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560">
        <v>0.5</v>
      </c>
      <c r="E125" s="561" t="s">
        <v>310</v>
      </c>
      <c r="F125" s="4"/>
      <c r="G125" s="186" t="s">
        <v>330</v>
      </c>
      <c r="H125" s="559" t="str">
        <f t="shared" ref="H125:R125" si="57">IF(H116&lt;$D$125,$E$125,H51/H27)</f>
        <v>N/A</v>
      </c>
      <c r="I125" s="559" t="str">
        <f t="shared" si="57"/>
        <v>N/A</v>
      </c>
      <c r="J125" s="559" t="str">
        <f t="shared" si="57"/>
        <v>N/A</v>
      </c>
      <c r="K125" s="559" t="str">
        <f t="shared" si="57"/>
        <v>N/A</v>
      </c>
      <c r="L125" s="559" t="str">
        <f t="shared" si="57"/>
        <v>N/A</v>
      </c>
      <c r="M125" s="559" t="str">
        <f t="shared" si="57"/>
        <v>N/A</v>
      </c>
      <c r="N125" s="559" t="str">
        <f t="shared" si="57"/>
        <v>N/A</v>
      </c>
      <c r="O125" s="559" t="str">
        <f t="shared" si="57"/>
        <v>N/A</v>
      </c>
      <c r="P125" s="559" t="str">
        <f t="shared" si="57"/>
        <v>N/A</v>
      </c>
      <c r="Q125" s="559" t="str">
        <f t="shared" si="57"/>
        <v>N/A</v>
      </c>
      <c r="R125" s="559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545">
        <f>H119</f>
        <v>2011</v>
      </c>
      <c r="I127" s="545">
        <f t="shared" ref="I127:R127" si="58">I119</f>
        <v>2012</v>
      </c>
      <c r="J127" s="545">
        <f t="shared" si="58"/>
        <v>2013</v>
      </c>
      <c r="K127" s="545">
        <f t="shared" si="58"/>
        <v>2014</v>
      </c>
      <c r="L127" s="545">
        <f t="shared" si="58"/>
        <v>2015</v>
      </c>
      <c r="M127" s="545">
        <f t="shared" si="58"/>
        <v>2016</v>
      </c>
      <c r="N127" s="545">
        <f t="shared" si="58"/>
        <v>2017</v>
      </c>
      <c r="O127" s="545">
        <f t="shared" si="58"/>
        <v>2018</v>
      </c>
      <c r="P127" s="545">
        <f t="shared" si="58"/>
        <v>2019</v>
      </c>
      <c r="Q127" s="545">
        <f t="shared" si="58"/>
        <v>2020</v>
      </c>
      <c r="R127" s="545">
        <f t="shared" si="58"/>
        <v>2021</v>
      </c>
    </row>
    <row r="128" spans="1:19" x14ac:dyDescent="0.2">
      <c r="G128" s="562" t="s">
        <v>331</v>
      </c>
      <c r="H128" s="563">
        <f t="shared" ref="H128:R128" si="59">H33</f>
        <v>1323.3039999999999</v>
      </c>
      <c r="I128" s="563">
        <f t="shared" si="59"/>
        <v>2774.605</v>
      </c>
      <c r="J128" s="563">
        <f t="shared" si="59"/>
        <v>1452.97</v>
      </c>
      <c r="K128" s="563">
        <f t="shared" si="59"/>
        <v>2301.6240000000003</v>
      </c>
      <c r="L128" s="563">
        <f t="shared" si="59"/>
        <v>1771.0530000000001</v>
      </c>
      <c r="M128" s="563">
        <f t="shared" si="59"/>
        <v>6794</v>
      </c>
      <c r="N128" s="563">
        <f t="shared" si="59"/>
        <v>8785</v>
      </c>
      <c r="O128" s="563">
        <f t="shared" si="59"/>
        <v>2160</v>
      </c>
      <c r="P128" s="563">
        <f t="shared" si="59"/>
        <v>2180</v>
      </c>
      <c r="Q128" s="563">
        <f t="shared" si="59"/>
        <v>2199</v>
      </c>
      <c r="R128" s="563">
        <f t="shared" si="59"/>
        <v>2220</v>
      </c>
    </row>
    <row r="129" spans="3:19" x14ac:dyDescent="0.2">
      <c r="G129" s="562" t="s">
        <v>332</v>
      </c>
      <c r="H129" s="563">
        <f t="shared" ref="H129:R130" si="60">H35</f>
        <v>460.99200000000002</v>
      </c>
      <c r="I129" s="563">
        <f t="shared" si="60"/>
        <v>455.858</v>
      </c>
      <c r="J129" s="563">
        <f t="shared" si="60"/>
        <v>431.18799999999999</v>
      </c>
      <c r="K129" s="563">
        <f t="shared" si="60"/>
        <v>665.56299999999999</v>
      </c>
      <c r="L129" s="563">
        <f t="shared" si="60"/>
        <v>559.93200000000002</v>
      </c>
      <c r="M129" s="563">
        <f t="shared" si="60"/>
        <v>708</v>
      </c>
      <c r="N129" s="563">
        <f t="shared" si="60"/>
        <v>600</v>
      </c>
      <c r="O129" s="563">
        <f t="shared" si="60"/>
        <v>900</v>
      </c>
      <c r="P129" s="563">
        <f t="shared" si="60"/>
        <v>940</v>
      </c>
      <c r="Q129" s="563">
        <f t="shared" si="60"/>
        <v>940</v>
      </c>
      <c r="R129" s="563">
        <f t="shared" si="60"/>
        <v>950</v>
      </c>
    </row>
    <row r="130" spans="3:19" x14ac:dyDescent="0.2">
      <c r="G130" s="562" t="s">
        <v>333</v>
      </c>
      <c r="H130" s="563">
        <f t="shared" si="60"/>
        <v>934.8</v>
      </c>
      <c r="I130" s="563">
        <f t="shared" si="60"/>
        <v>2317.08</v>
      </c>
      <c r="J130" s="563">
        <f t="shared" si="60"/>
        <v>1021.782</v>
      </c>
      <c r="K130" s="563">
        <f t="shared" si="60"/>
        <v>1636.9580000000001</v>
      </c>
      <c r="L130" s="563">
        <f t="shared" si="60"/>
        <v>1211.135</v>
      </c>
      <c r="M130" s="563">
        <f t="shared" si="60"/>
        <v>6085</v>
      </c>
      <c r="N130" s="563">
        <f t="shared" si="60"/>
        <v>8175</v>
      </c>
      <c r="O130" s="563">
        <f t="shared" si="60"/>
        <v>1250</v>
      </c>
      <c r="P130" s="563">
        <f t="shared" si="60"/>
        <v>1230</v>
      </c>
      <c r="Q130" s="563">
        <f t="shared" si="60"/>
        <v>1240</v>
      </c>
      <c r="R130" s="563">
        <f t="shared" si="60"/>
        <v>1250</v>
      </c>
    </row>
    <row r="131" spans="3:19" x14ac:dyDescent="0.2">
      <c r="G131" s="562" t="s">
        <v>334</v>
      </c>
      <c r="H131" s="563">
        <f t="shared" ref="H131:R131" si="61">H38+H41</f>
        <v>-1653.4089999999999</v>
      </c>
      <c r="I131" s="563">
        <f t="shared" si="61"/>
        <v>-1595.961</v>
      </c>
      <c r="J131" s="563">
        <f t="shared" si="61"/>
        <v>-1704.9230000000002</v>
      </c>
      <c r="K131" s="563">
        <f t="shared" si="61"/>
        <v>-2288.9730000000004</v>
      </c>
      <c r="L131" s="563">
        <f t="shared" si="61"/>
        <v>-2052.1469999999999</v>
      </c>
      <c r="M131" s="563">
        <f t="shared" si="61"/>
        <v>-2815</v>
      </c>
      <c r="N131" s="563">
        <f t="shared" si="61"/>
        <v>-4904</v>
      </c>
      <c r="O131" s="563">
        <f t="shared" si="61"/>
        <v>-2513</v>
      </c>
      <c r="P131" s="563">
        <f t="shared" si="61"/>
        <v>-2543</v>
      </c>
      <c r="Q131" s="563">
        <f t="shared" si="61"/>
        <v>-2554</v>
      </c>
      <c r="R131" s="563">
        <f t="shared" si="61"/>
        <v>-2574</v>
      </c>
    </row>
    <row r="132" spans="3:19" x14ac:dyDescent="0.2">
      <c r="G132" s="562" t="s">
        <v>335</v>
      </c>
      <c r="H132" s="563">
        <f t="shared" ref="H132:R132" si="62">H41</f>
        <v>-1481.3609999999999</v>
      </c>
      <c r="I132" s="563">
        <f t="shared" si="62"/>
        <v>-1594.2239999999999</v>
      </c>
      <c r="J132" s="563">
        <f t="shared" si="62"/>
        <v>-1703.1860000000001</v>
      </c>
      <c r="K132" s="563">
        <f t="shared" si="62"/>
        <v>-2287.1760000000004</v>
      </c>
      <c r="L132" s="563">
        <f t="shared" si="62"/>
        <v>-2050.241</v>
      </c>
      <c r="M132" s="563">
        <f t="shared" si="62"/>
        <v>-2812</v>
      </c>
      <c r="N132" s="563">
        <f t="shared" si="62"/>
        <v>-4901</v>
      </c>
      <c r="O132" s="563">
        <f t="shared" si="62"/>
        <v>-2510</v>
      </c>
      <c r="P132" s="563">
        <f t="shared" si="62"/>
        <v>-2540</v>
      </c>
      <c r="Q132" s="563">
        <f t="shared" si="62"/>
        <v>-2550</v>
      </c>
      <c r="R132" s="563">
        <f t="shared" si="62"/>
        <v>-2570</v>
      </c>
    </row>
    <row r="133" spans="3:19" x14ac:dyDescent="0.2">
      <c r="G133" s="562" t="s">
        <v>336</v>
      </c>
      <c r="H133" s="563">
        <f t="shared" ref="H133:R133" si="63">H38</f>
        <v>-172.048</v>
      </c>
      <c r="I133" s="563">
        <f t="shared" si="63"/>
        <v>-1.7370000000000001</v>
      </c>
      <c r="J133" s="563">
        <f t="shared" si="63"/>
        <v>-1.7370000000000001</v>
      </c>
      <c r="K133" s="563">
        <f t="shared" si="63"/>
        <v>-1.7969999999999999</v>
      </c>
      <c r="L133" s="563">
        <f t="shared" si="63"/>
        <v>-1.9059999999999999</v>
      </c>
      <c r="M133" s="563">
        <f t="shared" si="63"/>
        <v>-3</v>
      </c>
      <c r="N133" s="563">
        <f t="shared" si="63"/>
        <v>-3</v>
      </c>
      <c r="O133" s="563">
        <f t="shared" si="63"/>
        <v>-3</v>
      </c>
      <c r="P133" s="563">
        <f t="shared" si="63"/>
        <v>-3</v>
      </c>
      <c r="Q133" s="563">
        <f t="shared" si="63"/>
        <v>-4</v>
      </c>
      <c r="R133" s="563">
        <f t="shared" si="63"/>
        <v>-4</v>
      </c>
    </row>
    <row r="134" spans="3:19" x14ac:dyDescent="0.2">
      <c r="G134" s="562" t="s">
        <v>337</v>
      </c>
      <c r="H134" s="563">
        <f t="shared" ref="H134:R134" si="64">H46</f>
        <v>-330.10500000000002</v>
      </c>
      <c r="I134" s="563">
        <f t="shared" si="64"/>
        <v>1178.644</v>
      </c>
      <c r="J134" s="563">
        <f t="shared" si="64"/>
        <v>-251.9530000000002</v>
      </c>
      <c r="K134" s="563">
        <f t="shared" si="64"/>
        <v>12.65099999999984</v>
      </c>
      <c r="L134" s="563">
        <f t="shared" si="64"/>
        <v>-281.09399999999982</v>
      </c>
      <c r="M134" s="563">
        <f t="shared" si="64"/>
        <v>3979</v>
      </c>
      <c r="N134" s="563">
        <f t="shared" si="64"/>
        <v>3881</v>
      </c>
      <c r="O134" s="563">
        <f t="shared" si="64"/>
        <v>-353</v>
      </c>
      <c r="P134" s="563">
        <f t="shared" si="64"/>
        <v>-363</v>
      </c>
      <c r="Q134" s="563">
        <f t="shared" si="64"/>
        <v>-355</v>
      </c>
      <c r="R134" s="563">
        <f t="shared" si="64"/>
        <v>-354</v>
      </c>
    </row>
    <row r="135" spans="3:19" x14ac:dyDescent="0.2">
      <c r="G135" s="562" t="s">
        <v>338</v>
      </c>
      <c r="H135" s="563">
        <f t="shared" ref="H135:R135" si="65">H51</f>
        <v>-329.81400000000002</v>
      </c>
      <c r="I135" s="563">
        <f t="shared" si="65"/>
        <v>1178.835</v>
      </c>
      <c r="J135" s="563">
        <f t="shared" si="65"/>
        <v>-251.9530000000002</v>
      </c>
      <c r="K135" s="563">
        <f t="shared" si="65"/>
        <v>12.65099999999984</v>
      </c>
      <c r="L135" s="563">
        <f t="shared" si="65"/>
        <v>-268.91299999999984</v>
      </c>
      <c r="M135" s="563">
        <f t="shared" si="65"/>
        <v>3995</v>
      </c>
      <c r="N135" s="563">
        <f t="shared" si="65"/>
        <v>3881</v>
      </c>
      <c r="O135" s="563">
        <f t="shared" si="65"/>
        <v>-353</v>
      </c>
      <c r="P135" s="563">
        <f t="shared" si="65"/>
        <v>-363</v>
      </c>
      <c r="Q135" s="563">
        <f t="shared" si="65"/>
        <v>-355</v>
      </c>
      <c r="R135" s="563">
        <f t="shared" si="65"/>
        <v>-354</v>
      </c>
    </row>
    <row r="136" spans="3:19" x14ac:dyDescent="0.2">
      <c r="G136" s="562" t="s">
        <v>339</v>
      </c>
      <c r="H136" s="563">
        <f t="shared" ref="H136:R137" si="66">H4</f>
        <v>4731.0120000000006</v>
      </c>
      <c r="I136" s="563">
        <f t="shared" si="66"/>
        <v>5934.6490000000003</v>
      </c>
      <c r="J136" s="563">
        <f t="shared" si="66"/>
        <v>5657.4779999999992</v>
      </c>
      <c r="K136" s="563">
        <f t="shared" si="66"/>
        <v>5702.43</v>
      </c>
      <c r="L136" s="563">
        <f t="shared" si="66"/>
        <v>14154.895</v>
      </c>
      <c r="M136" s="563">
        <f t="shared" si="66"/>
        <v>17543</v>
      </c>
      <c r="N136" s="563">
        <f t="shared" si="66"/>
        <v>13294</v>
      </c>
      <c r="O136" s="563">
        <f t="shared" si="66"/>
        <v>12954</v>
      </c>
      <c r="P136" s="563">
        <f t="shared" si="66"/>
        <v>12591</v>
      </c>
      <c r="Q136" s="563">
        <f t="shared" si="66"/>
        <v>12236</v>
      </c>
      <c r="R136" s="563">
        <f t="shared" si="66"/>
        <v>11882</v>
      </c>
    </row>
    <row r="137" spans="3:19" x14ac:dyDescent="0.2">
      <c r="G137" s="562" t="s">
        <v>340</v>
      </c>
      <c r="H137" s="563">
        <f t="shared" si="66"/>
        <v>113.587</v>
      </c>
      <c r="I137" s="563">
        <f t="shared" si="66"/>
        <v>239.98699999999999</v>
      </c>
      <c r="J137" s="563">
        <f t="shared" si="66"/>
        <v>140.68099999999998</v>
      </c>
      <c r="K137" s="563">
        <f t="shared" si="66"/>
        <v>483.32100000000003</v>
      </c>
      <c r="L137" s="563">
        <f t="shared" si="66"/>
        <v>8960.8269999999993</v>
      </c>
      <c r="M137" s="563">
        <f t="shared" si="66"/>
        <v>8473</v>
      </c>
      <c r="N137" s="563">
        <f t="shared" si="66"/>
        <v>194</v>
      </c>
      <c r="O137" s="563">
        <f t="shared" si="66"/>
        <v>188</v>
      </c>
      <c r="P137" s="563">
        <f t="shared" si="66"/>
        <v>215</v>
      </c>
      <c r="Q137" s="563">
        <f t="shared" si="66"/>
        <v>223</v>
      </c>
      <c r="R137" s="563">
        <f t="shared" si="66"/>
        <v>242</v>
      </c>
    </row>
    <row r="138" spans="3:19" x14ac:dyDescent="0.2">
      <c r="G138" s="562" t="s">
        <v>341</v>
      </c>
      <c r="H138" s="563">
        <f t="shared" ref="H138:R138" si="67">H10</f>
        <v>4617.4250000000002</v>
      </c>
      <c r="I138" s="563">
        <f t="shared" si="67"/>
        <v>5694.6620000000003</v>
      </c>
      <c r="J138" s="563">
        <f t="shared" si="67"/>
        <v>5516.7969999999996</v>
      </c>
      <c r="K138" s="563">
        <f t="shared" si="67"/>
        <v>5219.1090000000004</v>
      </c>
      <c r="L138" s="563">
        <f t="shared" si="67"/>
        <v>5194.0680000000002</v>
      </c>
      <c r="M138" s="563">
        <f t="shared" si="67"/>
        <v>9070</v>
      </c>
      <c r="N138" s="563">
        <f t="shared" si="67"/>
        <v>13100</v>
      </c>
      <c r="O138" s="563">
        <f t="shared" si="67"/>
        <v>12766</v>
      </c>
      <c r="P138" s="563">
        <f t="shared" si="67"/>
        <v>12376</v>
      </c>
      <c r="Q138" s="563">
        <f t="shared" si="67"/>
        <v>12013</v>
      </c>
      <c r="R138" s="563">
        <f t="shared" si="67"/>
        <v>11640</v>
      </c>
    </row>
    <row r="139" spans="3:19" x14ac:dyDescent="0.2">
      <c r="G139" s="562" t="s">
        <v>342</v>
      </c>
      <c r="H139" s="563">
        <f t="shared" ref="H139:R140" si="68">H19</f>
        <v>105.89299999999999</v>
      </c>
      <c r="I139" s="563">
        <f t="shared" si="68"/>
        <v>130.69499999999999</v>
      </c>
      <c r="J139" s="563">
        <f t="shared" si="68"/>
        <v>105.477</v>
      </c>
      <c r="K139" s="563">
        <f t="shared" si="68"/>
        <v>137.779</v>
      </c>
      <c r="L139" s="563">
        <f t="shared" si="68"/>
        <v>8859.1560000000009</v>
      </c>
      <c r="M139" s="563">
        <f t="shared" si="68"/>
        <v>8252</v>
      </c>
      <c r="N139" s="563">
        <f t="shared" si="68"/>
        <v>122</v>
      </c>
      <c r="O139" s="563">
        <f t="shared" si="68"/>
        <v>135</v>
      </c>
      <c r="P139" s="563">
        <f t="shared" si="68"/>
        <v>135</v>
      </c>
      <c r="Q139" s="563">
        <f t="shared" si="68"/>
        <v>135</v>
      </c>
      <c r="R139" s="563">
        <f t="shared" si="68"/>
        <v>135</v>
      </c>
    </row>
    <row r="140" spans="3:19" x14ac:dyDescent="0.2">
      <c r="G140" s="562" t="s">
        <v>343</v>
      </c>
      <c r="H140" s="563">
        <f t="shared" si="68"/>
        <v>105.893</v>
      </c>
      <c r="I140" s="563">
        <f t="shared" si="68"/>
        <v>130.69499999999999</v>
      </c>
      <c r="J140" s="563">
        <f t="shared" si="68"/>
        <v>105.477</v>
      </c>
      <c r="K140" s="563">
        <f t="shared" si="68"/>
        <v>137.779</v>
      </c>
      <c r="L140" s="563">
        <f t="shared" si="68"/>
        <v>8859.1560000000009</v>
      </c>
      <c r="M140" s="563">
        <f t="shared" si="68"/>
        <v>8252</v>
      </c>
      <c r="N140" s="563">
        <f t="shared" si="68"/>
        <v>0</v>
      </c>
      <c r="O140" s="563">
        <f t="shared" si="68"/>
        <v>0</v>
      </c>
      <c r="P140" s="563">
        <f t="shared" si="68"/>
        <v>0</v>
      </c>
      <c r="Q140" s="563">
        <f t="shared" si="68"/>
        <v>0</v>
      </c>
      <c r="R140" s="563">
        <f t="shared" si="68"/>
        <v>0</v>
      </c>
    </row>
    <row r="141" spans="3:19" x14ac:dyDescent="0.2">
      <c r="G141" s="562" t="s">
        <v>344</v>
      </c>
      <c r="H141" s="563">
        <f t="shared" ref="H141:R141" si="69">H24</f>
        <v>1.103</v>
      </c>
      <c r="I141" s="563">
        <f t="shared" si="69"/>
        <v>0</v>
      </c>
      <c r="J141" s="563">
        <f t="shared" si="69"/>
        <v>0</v>
      </c>
      <c r="K141" s="563">
        <f t="shared" si="69"/>
        <v>0</v>
      </c>
      <c r="L141" s="563">
        <f t="shared" si="69"/>
        <v>0</v>
      </c>
      <c r="M141" s="563">
        <f t="shared" si="69"/>
        <v>0</v>
      </c>
      <c r="N141" s="563">
        <f t="shared" si="69"/>
        <v>0</v>
      </c>
      <c r="O141" s="563">
        <f t="shared" si="69"/>
        <v>0</v>
      </c>
      <c r="P141" s="563">
        <f t="shared" si="69"/>
        <v>0</v>
      </c>
      <c r="Q141" s="563">
        <f t="shared" si="69"/>
        <v>0</v>
      </c>
      <c r="R141" s="563">
        <f t="shared" si="69"/>
        <v>0</v>
      </c>
    </row>
    <row r="142" spans="3:19" x14ac:dyDescent="0.2">
      <c r="G142" s="562" t="s">
        <v>345</v>
      </c>
      <c r="H142" s="563">
        <f t="shared" ref="H142:R142" si="70">H27</f>
        <v>4625.12</v>
      </c>
      <c r="I142" s="563">
        <f t="shared" si="70"/>
        <v>5803.9539999999997</v>
      </c>
      <c r="J142" s="563">
        <f t="shared" si="70"/>
        <v>5552.0009999999993</v>
      </c>
      <c r="K142" s="563">
        <f t="shared" si="70"/>
        <v>5564.652</v>
      </c>
      <c r="L142" s="563">
        <f t="shared" si="70"/>
        <v>5295.74</v>
      </c>
      <c r="M142" s="563">
        <f t="shared" si="70"/>
        <v>9291</v>
      </c>
      <c r="N142" s="563">
        <f t="shared" si="70"/>
        <v>13172</v>
      </c>
      <c r="O142" s="563">
        <f t="shared" si="70"/>
        <v>12819</v>
      </c>
      <c r="P142" s="563">
        <f t="shared" si="70"/>
        <v>12456</v>
      </c>
      <c r="Q142" s="563">
        <f t="shared" si="70"/>
        <v>12101</v>
      </c>
      <c r="R142" s="563">
        <f t="shared" si="70"/>
        <v>11747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289" priority="51" stopIfTrue="1" operator="greaterThan">
      <formula>$E$116</formula>
    </cfRule>
    <cfRule type="cellIs" dxfId="288" priority="52" stopIfTrue="1" operator="lessThanOrEqual">
      <formula>$E$116</formula>
    </cfRule>
  </conditionalFormatting>
  <conditionalFormatting sqref="H118:Q118">
    <cfRule type="cellIs" dxfId="287" priority="49" stopIfTrue="1" operator="lessThanOrEqual">
      <formula>$E$118</formula>
    </cfRule>
    <cfRule type="cellIs" dxfId="286" priority="50" stopIfTrue="1" operator="greaterThan">
      <formula>$E$118</formula>
    </cfRule>
  </conditionalFormatting>
  <conditionalFormatting sqref="H99:Q99">
    <cfRule type="cellIs" dxfId="285" priority="47" operator="greaterThan">
      <formula>$E$99</formula>
    </cfRule>
    <cfRule type="cellIs" dxfId="284" priority="48" operator="lessThanOrEqual">
      <formula>$E$99</formula>
    </cfRule>
  </conditionalFormatting>
  <conditionalFormatting sqref="H102:Q102">
    <cfRule type="cellIs" dxfId="283" priority="45" stopIfTrue="1" operator="greaterThanOrEqual">
      <formula>$E$102</formula>
    </cfRule>
    <cfRule type="cellIs" dxfId="282" priority="46" stopIfTrue="1" operator="lessThan">
      <formula>$E$102</formula>
    </cfRule>
  </conditionalFormatting>
  <conditionalFormatting sqref="H104:Q104">
    <cfRule type="cellIs" dxfId="281" priority="43" stopIfTrue="1" operator="lessThan">
      <formula>$E$104</formula>
    </cfRule>
    <cfRule type="cellIs" dxfId="280" priority="44" stopIfTrue="1" operator="greaterThanOrEqual">
      <formula>$E$104</formula>
    </cfRule>
  </conditionalFormatting>
  <conditionalFormatting sqref="H103:Q103">
    <cfRule type="cellIs" dxfId="279" priority="41" stopIfTrue="1" operator="greaterThan">
      <formula>$E$103</formula>
    </cfRule>
    <cfRule type="cellIs" dxfId="278" priority="42" stopIfTrue="1" operator="lessThanOrEqual">
      <formula>$E$103</formula>
    </cfRule>
  </conditionalFormatting>
  <conditionalFormatting sqref="H100:Q100">
    <cfRule type="cellIs" dxfId="277" priority="30" stopIfTrue="1" operator="between">
      <formula>$D$100</formula>
      <formula>$E$100</formula>
    </cfRule>
    <cfRule type="cellIs" dxfId="276" priority="39" stopIfTrue="1" operator="lessThanOrEqual">
      <formula>$D$100</formula>
    </cfRule>
    <cfRule type="cellIs" dxfId="275" priority="40" stopIfTrue="1" operator="greaterThan">
      <formula>$E$100</formula>
    </cfRule>
  </conditionalFormatting>
  <conditionalFormatting sqref="H117:Q117">
    <cfRule type="cellIs" dxfId="274" priority="37" stopIfTrue="1" operator="greaterThan">
      <formula>$E$117</formula>
    </cfRule>
    <cfRule type="cellIs" dxfId="273" priority="38" stopIfTrue="1" operator="lessThanOrEqual">
      <formula>$E$117</formula>
    </cfRule>
  </conditionalFormatting>
  <conditionalFormatting sqref="H107:Q107">
    <cfRule type="cellIs" dxfId="272" priority="35" stopIfTrue="1" operator="greaterThan">
      <formula>$E$107</formula>
    </cfRule>
    <cfRule type="cellIs" dxfId="271" priority="36" stopIfTrue="1" operator="lessThanOrEqual">
      <formula>$E$107</formula>
    </cfRule>
  </conditionalFormatting>
  <conditionalFormatting sqref="H108:Q108">
    <cfRule type="cellIs" dxfId="270" priority="33" stopIfTrue="1" operator="lessThan">
      <formula>$E$108</formula>
    </cfRule>
    <cfRule type="cellIs" dxfId="269" priority="34" stopIfTrue="1" operator="greaterThanOrEqual">
      <formula>$E$108</formula>
    </cfRule>
  </conditionalFormatting>
  <conditionalFormatting sqref="H93:Q93">
    <cfRule type="cellIs" dxfId="268" priority="53" stopIfTrue="1" operator="lessThan">
      <formula>$D$93</formula>
    </cfRule>
    <cfRule type="cellIs" dxfId="267" priority="54" stopIfTrue="1" operator="between">
      <formula>$D$93</formula>
      <formula>$E$93</formula>
    </cfRule>
    <cfRule type="cellIs" dxfId="266" priority="55" stopIfTrue="1" operator="greaterThan">
      <formula>$E$93</formula>
    </cfRule>
  </conditionalFormatting>
  <conditionalFormatting sqref="H114:Q114">
    <cfRule type="cellIs" dxfId="265" priority="56" stopIfTrue="1" operator="lessThan">
      <formula>$E$114</formula>
    </cfRule>
    <cfRule type="cellIs" dxfId="264" priority="57" stopIfTrue="1" operator="between">
      <formula>$D$114</formula>
      <formula>$E$114</formula>
    </cfRule>
    <cfRule type="cellIs" dxfId="263" priority="58" stopIfTrue="1" operator="greaterThanOrEqual">
      <formula>$D$114</formula>
    </cfRule>
  </conditionalFormatting>
  <conditionalFormatting sqref="H90:Q90">
    <cfRule type="cellIs" dxfId="262" priority="31" stopIfTrue="1" operator="lessThan">
      <formula>$E$90</formula>
    </cfRule>
    <cfRule type="cellIs" dxfId="261" priority="32" stopIfTrue="1" operator="greaterThan">
      <formula>$E$90</formula>
    </cfRule>
  </conditionalFormatting>
  <conditionalFormatting sqref="R116">
    <cfRule type="cellIs" dxfId="260" priority="22" stopIfTrue="1" operator="greaterThan">
      <formula>$E$116</formula>
    </cfRule>
    <cfRule type="cellIs" dxfId="259" priority="23" stopIfTrue="1" operator="lessThanOrEqual">
      <formula>$E$116</formula>
    </cfRule>
  </conditionalFormatting>
  <conditionalFormatting sqref="R118">
    <cfRule type="cellIs" dxfId="258" priority="20" stopIfTrue="1" operator="lessThanOrEqual">
      <formula>$E$118</formula>
    </cfRule>
    <cfRule type="cellIs" dxfId="257" priority="21" stopIfTrue="1" operator="greaterThan">
      <formula>$E$118</formula>
    </cfRule>
  </conditionalFormatting>
  <conditionalFormatting sqref="R99">
    <cfRule type="cellIs" dxfId="256" priority="18" operator="greaterThan">
      <formula>$E$99</formula>
    </cfRule>
    <cfRule type="cellIs" dxfId="255" priority="19" operator="lessThanOrEqual">
      <formula>$E$99</formula>
    </cfRule>
  </conditionalFormatting>
  <conditionalFormatting sqref="R102">
    <cfRule type="cellIs" dxfId="254" priority="16" stopIfTrue="1" operator="greaterThanOrEqual">
      <formula>$E$102</formula>
    </cfRule>
    <cfRule type="cellIs" dxfId="253" priority="17" stopIfTrue="1" operator="lessThan">
      <formula>$E$102</formula>
    </cfRule>
  </conditionalFormatting>
  <conditionalFormatting sqref="R104">
    <cfRule type="cellIs" dxfId="252" priority="14" stopIfTrue="1" operator="lessThan">
      <formula>$E$104</formula>
    </cfRule>
    <cfRule type="cellIs" dxfId="251" priority="15" stopIfTrue="1" operator="greaterThanOrEqual">
      <formula>$E$104</formula>
    </cfRule>
  </conditionalFormatting>
  <conditionalFormatting sqref="R103">
    <cfRule type="cellIs" dxfId="250" priority="12" stopIfTrue="1" operator="greaterThan">
      <formula>$E$103</formula>
    </cfRule>
    <cfRule type="cellIs" dxfId="249" priority="13" stopIfTrue="1" operator="lessThanOrEqual">
      <formula>$E$103</formula>
    </cfRule>
  </conditionalFormatting>
  <conditionalFormatting sqref="R100">
    <cfRule type="cellIs" dxfId="248" priority="1" stopIfTrue="1" operator="between">
      <formula>$D$100</formula>
      <formula>$E$100</formula>
    </cfRule>
    <cfRule type="cellIs" dxfId="247" priority="10" stopIfTrue="1" operator="lessThanOrEqual">
      <formula>$D$100</formula>
    </cfRule>
    <cfRule type="cellIs" dxfId="246" priority="11" stopIfTrue="1" operator="greaterThan">
      <formula>$E$100</formula>
    </cfRule>
  </conditionalFormatting>
  <conditionalFormatting sqref="R117">
    <cfRule type="cellIs" dxfId="245" priority="8" stopIfTrue="1" operator="greaterThan">
      <formula>$E$117</formula>
    </cfRule>
    <cfRule type="cellIs" dxfId="244" priority="9" stopIfTrue="1" operator="lessThanOrEqual">
      <formula>$E$117</formula>
    </cfRule>
  </conditionalFormatting>
  <conditionalFormatting sqref="R107">
    <cfRule type="cellIs" dxfId="243" priority="6" stopIfTrue="1" operator="greaterThan">
      <formula>$E$107</formula>
    </cfRule>
    <cfRule type="cellIs" dxfId="242" priority="7" stopIfTrue="1" operator="lessThanOrEqual">
      <formula>$E$107</formula>
    </cfRule>
  </conditionalFormatting>
  <conditionalFormatting sqref="R108">
    <cfRule type="cellIs" dxfId="241" priority="4" stopIfTrue="1" operator="lessThan">
      <formula>$E$108</formula>
    </cfRule>
    <cfRule type="cellIs" dxfId="240" priority="5" stopIfTrue="1" operator="greaterThanOrEqual">
      <formula>$E$108</formula>
    </cfRule>
  </conditionalFormatting>
  <conditionalFormatting sqref="R93">
    <cfRule type="cellIs" dxfId="239" priority="24" stopIfTrue="1" operator="lessThan">
      <formula>$D$93</formula>
    </cfRule>
    <cfRule type="cellIs" dxfId="238" priority="25" stopIfTrue="1" operator="between">
      <formula>$D$93</formula>
      <formula>$E$93</formula>
    </cfRule>
    <cfRule type="cellIs" dxfId="237" priority="26" stopIfTrue="1" operator="greaterThan">
      <formula>$E$93</formula>
    </cfRule>
  </conditionalFormatting>
  <conditionalFormatting sqref="R114">
    <cfRule type="cellIs" dxfId="236" priority="27" stopIfTrue="1" operator="lessThan">
      <formula>$E$114</formula>
    </cfRule>
    <cfRule type="cellIs" dxfId="235" priority="28" stopIfTrue="1" operator="between">
      <formula>$D$114</formula>
      <formula>$E$114</formula>
    </cfRule>
    <cfRule type="cellIs" dxfId="234" priority="29" stopIfTrue="1" operator="greaterThanOrEqual">
      <formula>$D$114</formula>
    </cfRule>
  </conditionalFormatting>
  <conditionalFormatting sqref="R90">
    <cfRule type="cellIs" dxfId="233" priority="2" stopIfTrue="1" operator="lessThan">
      <formula>$E$90</formula>
    </cfRule>
    <cfRule type="cellIs" dxfId="232" priority="3" stopIfTrue="1" operator="greaterThan">
      <formula>$E$90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ColWidth="9.140625"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18.42578125" style="48" customWidth="1"/>
    <col min="8" max="8" width="8.7109375" style="4" customWidth="1"/>
    <col min="9" max="18" width="8.7109375" style="4" bestFit="1" customWidth="1"/>
    <col min="19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6" t="s">
        <v>4</v>
      </c>
      <c r="H2" s="7" t="s">
        <v>5</v>
      </c>
      <c r="I2" s="8"/>
      <c r="J2" s="9"/>
      <c r="K2" s="1274" t="s">
        <v>6</v>
      </c>
      <c r="L2" s="1275"/>
      <c r="M2" s="1276" t="s">
        <v>351</v>
      </c>
      <c r="N2" s="1277"/>
      <c r="O2" s="1277"/>
      <c r="P2" s="1277"/>
      <c r="Q2" s="1277"/>
      <c r="R2" s="1278"/>
    </row>
    <row r="3" spans="1:18" x14ac:dyDescent="0.2">
      <c r="A3" s="1"/>
      <c r="B3" s="10"/>
      <c r="C3" s="3"/>
      <c r="D3" s="3"/>
      <c r="E3" s="1"/>
      <c r="F3" s="1"/>
      <c r="G3" s="11" t="s">
        <v>7</v>
      </c>
      <c r="H3" s="12">
        <v>40908</v>
      </c>
      <c r="I3" s="12">
        <v>41274</v>
      </c>
      <c r="J3" s="12">
        <v>41639</v>
      </c>
      <c r="K3" s="12">
        <v>42004</v>
      </c>
      <c r="L3" s="12">
        <v>42369</v>
      </c>
      <c r="M3" s="12">
        <v>42735</v>
      </c>
      <c r="N3" s="12">
        <v>43100</v>
      </c>
      <c r="O3" s="12">
        <v>43465</v>
      </c>
      <c r="P3" s="12">
        <v>43830</v>
      </c>
      <c r="Q3" s="12">
        <v>44196</v>
      </c>
      <c r="R3" s="12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14" t="s">
        <v>9</v>
      </c>
      <c r="H4" s="15">
        <f t="shared" ref="H4:R4" si="0">H5+H10</f>
        <v>26.447000000000003</v>
      </c>
      <c r="I4" s="15">
        <f t="shared" si="0"/>
        <v>21.798999999999999</v>
      </c>
      <c r="J4" s="15">
        <f t="shared" si="0"/>
        <v>19.614000000000001</v>
      </c>
      <c r="K4" s="15">
        <f t="shared" si="0"/>
        <v>13.007</v>
      </c>
      <c r="L4" s="15">
        <f t="shared" si="0"/>
        <v>11.504</v>
      </c>
      <c r="M4" s="15">
        <f t="shared" si="0"/>
        <v>12</v>
      </c>
      <c r="N4" s="15">
        <f t="shared" si="0"/>
        <v>3</v>
      </c>
      <c r="O4" s="15">
        <f t="shared" si="0"/>
        <v>3</v>
      </c>
      <c r="P4" s="15">
        <f t="shared" si="0"/>
        <v>3</v>
      </c>
      <c r="Q4" s="15">
        <f t="shared" si="0"/>
        <v>3</v>
      </c>
      <c r="R4" s="15">
        <f t="shared" si="0"/>
        <v>3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15">
        <f t="shared" ref="H5:Q5" si="1">SUM(H6:H9)</f>
        <v>26.447000000000003</v>
      </c>
      <c r="I5" s="15">
        <f t="shared" si="1"/>
        <v>21.798999999999999</v>
      </c>
      <c r="J5" s="15">
        <f t="shared" si="1"/>
        <v>19.614000000000001</v>
      </c>
      <c r="K5" s="15">
        <f t="shared" si="1"/>
        <v>13.007</v>
      </c>
      <c r="L5" s="15">
        <f t="shared" si="1"/>
        <v>11.504</v>
      </c>
      <c r="M5" s="15">
        <f t="shared" si="1"/>
        <v>12</v>
      </c>
      <c r="N5" s="15">
        <f t="shared" si="1"/>
        <v>3</v>
      </c>
      <c r="O5" s="15">
        <f t="shared" si="1"/>
        <v>3</v>
      </c>
      <c r="P5" s="15">
        <f t="shared" si="1"/>
        <v>3</v>
      </c>
      <c r="Q5" s="15">
        <f t="shared" si="1"/>
        <v>3</v>
      </c>
      <c r="R5" s="15">
        <f>SUM(R6:R9)</f>
        <v>3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21">
        <v>23.228000000000002</v>
      </c>
      <c r="I6" s="21">
        <v>18.942</v>
      </c>
      <c r="J6" s="21">
        <v>17.236000000000001</v>
      </c>
      <c r="K6" s="21">
        <v>10.952999999999999</v>
      </c>
      <c r="L6" s="21">
        <v>6.5579999999999998</v>
      </c>
      <c r="M6" s="21">
        <v>10</v>
      </c>
      <c r="N6" s="21">
        <v>2</v>
      </c>
      <c r="O6" s="21">
        <v>2</v>
      </c>
      <c r="P6" s="21">
        <v>2</v>
      </c>
      <c r="Q6" s="21">
        <v>2</v>
      </c>
      <c r="R6" s="21">
        <v>2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21">
        <v>3.2189999999999999</v>
      </c>
      <c r="I7" s="21">
        <v>2.8570000000000002</v>
      </c>
      <c r="J7" s="21">
        <v>2.3780000000000001</v>
      </c>
      <c r="K7" s="21">
        <v>2.0539999999999998</v>
      </c>
      <c r="L7" s="21">
        <v>4.9459999999999997</v>
      </c>
      <c r="M7" s="21">
        <v>2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15">
        <f>SUM(H11:H16)</f>
        <v>0</v>
      </c>
      <c r="I10" s="15">
        <f t="shared" ref="I10:R10" si="2">SUM(I11:I16)</f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0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 t="shared" si="2"/>
        <v>0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15">
        <f>H19+H27</f>
        <v>26.446999999999999</v>
      </c>
      <c r="I18" s="15">
        <f t="shared" ref="I18:R18" si="3">I19+I27</f>
        <v>21.798000000000002</v>
      </c>
      <c r="J18" s="15">
        <f t="shared" si="3"/>
        <v>19.613000000000003</v>
      </c>
      <c r="K18" s="15">
        <f t="shared" si="3"/>
        <v>13.006999999999998</v>
      </c>
      <c r="L18" s="15">
        <f t="shared" si="3"/>
        <v>11.504000000000001</v>
      </c>
      <c r="M18" s="15">
        <f t="shared" si="3"/>
        <v>12</v>
      </c>
      <c r="N18" s="15">
        <f t="shared" si="3"/>
        <v>3</v>
      </c>
      <c r="O18" s="15">
        <f t="shared" si="3"/>
        <v>3</v>
      </c>
      <c r="P18" s="15">
        <f t="shared" si="3"/>
        <v>3</v>
      </c>
      <c r="Q18" s="15">
        <f t="shared" si="3"/>
        <v>3</v>
      </c>
      <c r="R18" s="15">
        <f t="shared" si="3"/>
        <v>3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15">
        <f>SUM(H21:H26)</f>
        <v>11.683</v>
      </c>
      <c r="I19" s="15">
        <f t="shared" ref="I19:R19" si="4">SUM(I21:I26)</f>
        <v>4.5880000000000001</v>
      </c>
      <c r="J19" s="15">
        <f t="shared" si="4"/>
        <v>3.8530000000000002</v>
      </c>
      <c r="K19" s="15">
        <f t="shared" si="4"/>
        <v>3.4470000000000001</v>
      </c>
      <c r="L19" s="15">
        <f t="shared" si="4"/>
        <v>5.4509999999999996</v>
      </c>
      <c r="M19" s="15">
        <f t="shared" si="4"/>
        <v>3</v>
      </c>
      <c r="N19" s="15">
        <f t="shared" si="4"/>
        <v>3</v>
      </c>
      <c r="O19" s="15">
        <f t="shared" si="4"/>
        <v>3</v>
      </c>
      <c r="P19" s="15">
        <f t="shared" si="4"/>
        <v>3</v>
      </c>
      <c r="Q19" s="15">
        <f t="shared" si="4"/>
        <v>3</v>
      </c>
      <c r="R19" s="15">
        <f t="shared" si="4"/>
        <v>3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31">
        <v>11.683</v>
      </c>
      <c r="I20" s="31">
        <v>4.5880000000000001</v>
      </c>
      <c r="J20" s="31">
        <v>3.8530000000000002</v>
      </c>
      <c r="K20" s="31">
        <v>3.4470000000000001</v>
      </c>
      <c r="L20" s="31">
        <v>5.4509999999999996</v>
      </c>
      <c r="M20" s="31">
        <v>3</v>
      </c>
      <c r="N20" s="31">
        <v>3</v>
      </c>
      <c r="O20" s="31">
        <v>0</v>
      </c>
      <c r="P20" s="31">
        <v>0</v>
      </c>
      <c r="Q20" s="31">
        <v>0</v>
      </c>
      <c r="R20" s="31">
        <v>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21">
        <v>11.683</v>
      </c>
      <c r="I21" s="21">
        <v>4.5880000000000001</v>
      </c>
      <c r="J21" s="21">
        <v>3.8530000000000002</v>
      </c>
      <c r="K21" s="21">
        <v>3.4470000000000001</v>
      </c>
      <c r="L21" s="21">
        <v>5.4509999999999996</v>
      </c>
      <c r="M21" s="21">
        <v>3</v>
      </c>
      <c r="N21" s="21">
        <v>3</v>
      </c>
      <c r="O21" s="21">
        <v>3</v>
      </c>
      <c r="P21" s="21">
        <v>3</v>
      </c>
      <c r="Q21" s="21">
        <v>3</v>
      </c>
      <c r="R21" s="21">
        <v>3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15">
        <f>SUM(H28:H30)</f>
        <v>14.763999999999999</v>
      </c>
      <c r="I27" s="15">
        <f t="shared" ref="I27:R27" si="5">SUM(I28:I30)</f>
        <v>17.21</v>
      </c>
      <c r="J27" s="15">
        <f t="shared" si="5"/>
        <v>15.760000000000002</v>
      </c>
      <c r="K27" s="15">
        <f t="shared" si="5"/>
        <v>9.5599999999999987</v>
      </c>
      <c r="L27" s="15">
        <f t="shared" si="5"/>
        <v>6.0530000000000008</v>
      </c>
      <c r="M27" s="15">
        <f t="shared" si="5"/>
        <v>9</v>
      </c>
      <c r="N27" s="15">
        <f t="shared" si="5"/>
        <v>0</v>
      </c>
      <c r="O27" s="15">
        <f t="shared" si="5"/>
        <v>0</v>
      </c>
      <c r="P27" s="15">
        <f t="shared" si="5"/>
        <v>0</v>
      </c>
      <c r="Q27" s="15">
        <f t="shared" si="5"/>
        <v>0</v>
      </c>
      <c r="R27" s="15">
        <f t="shared" si="5"/>
        <v>0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21">
        <v>4.0419999999999998</v>
      </c>
      <c r="I29" s="21">
        <v>14.763</v>
      </c>
      <c r="J29" s="21">
        <v>17.21</v>
      </c>
      <c r="K29" s="21">
        <v>15.76</v>
      </c>
      <c r="L29" s="21">
        <v>9.56</v>
      </c>
      <c r="M29" s="21">
        <v>6</v>
      </c>
      <c r="N29" s="21">
        <v>9</v>
      </c>
      <c r="O29" s="21">
        <v>0</v>
      </c>
      <c r="P29" s="21">
        <v>0</v>
      </c>
      <c r="Q29" s="21">
        <v>0</v>
      </c>
      <c r="R29" s="21">
        <v>0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21">
        <v>10.722</v>
      </c>
      <c r="I30" s="21">
        <v>2.4470000000000001</v>
      </c>
      <c r="J30" s="21">
        <v>-1.45</v>
      </c>
      <c r="K30" s="21">
        <v>-6.2</v>
      </c>
      <c r="L30" s="21">
        <v>-3.5070000000000001</v>
      </c>
      <c r="M30" s="21">
        <v>3</v>
      </c>
      <c r="N30" s="21">
        <v>-9</v>
      </c>
      <c r="O30" s="21">
        <v>0</v>
      </c>
      <c r="P30" s="21">
        <v>0</v>
      </c>
      <c r="Q30" s="21">
        <v>0</v>
      </c>
      <c r="R30" s="21">
        <v>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38" t="s">
        <v>77</v>
      </c>
      <c r="H31" s="39">
        <f t="shared" ref="H31:R31" si="6">H4-H18</f>
        <v>0</v>
      </c>
      <c r="I31" s="39">
        <f t="shared" si="6"/>
        <v>9.9999999999766942E-4</v>
      </c>
      <c r="J31" s="39">
        <f t="shared" si="6"/>
        <v>9.9999999999766942E-4</v>
      </c>
      <c r="K31" s="39">
        <f t="shared" si="6"/>
        <v>0</v>
      </c>
      <c r="L31" s="39">
        <f t="shared" si="6"/>
        <v>0</v>
      </c>
      <c r="M31" s="39">
        <f t="shared" si="6"/>
        <v>0</v>
      </c>
      <c r="N31" s="39">
        <f t="shared" si="6"/>
        <v>0</v>
      </c>
      <c r="O31" s="39">
        <f t="shared" si="6"/>
        <v>0</v>
      </c>
      <c r="P31" s="39">
        <f t="shared" si="6"/>
        <v>0</v>
      </c>
      <c r="Q31" s="39">
        <f t="shared" si="6"/>
        <v>0</v>
      </c>
      <c r="R31" s="39">
        <f t="shared" si="6"/>
        <v>0</v>
      </c>
      <c r="S31" s="4"/>
    </row>
    <row r="32" spans="1:19" x14ac:dyDescent="0.2">
      <c r="G32" s="11" t="s">
        <v>78</v>
      </c>
      <c r="H32" s="41">
        <v>2011</v>
      </c>
      <c r="I32" s="41">
        <f t="shared" ref="I32:R32" si="7">H32+1</f>
        <v>2012</v>
      </c>
      <c r="J32" s="41">
        <f t="shared" si="7"/>
        <v>2013</v>
      </c>
      <c r="K32" s="41">
        <f t="shared" si="7"/>
        <v>2014</v>
      </c>
      <c r="L32" s="41">
        <f t="shared" si="7"/>
        <v>2015</v>
      </c>
      <c r="M32" s="41">
        <f t="shared" si="7"/>
        <v>2016</v>
      </c>
      <c r="N32" s="41">
        <f t="shared" si="7"/>
        <v>2017</v>
      </c>
      <c r="O32" s="41">
        <f t="shared" si="7"/>
        <v>2018</v>
      </c>
      <c r="P32" s="41">
        <f t="shared" si="7"/>
        <v>2019</v>
      </c>
      <c r="Q32" s="41">
        <f t="shared" si="7"/>
        <v>2020</v>
      </c>
      <c r="R32" s="41">
        <f t="shared" si="7"/>
        <v>2021</v>
      </c>
    </row>
    <row r="33" spans="1:18" x14ac:dyDescent="0.2">
      <c r="B33" s="2" t="s">
        <v>79</v>
      </c>
      <c r="C33" s="19">
        <v>3</v>
      </c>
      <c r="G33" s="14" t="s">
        <v>80</v>
      </c>
      <c r="H33" s="15">
        <f>SUM(H34:H37)</f>
        <v>114.542</v>
      </c>
      <c r="I33" s="15">
        <f t="shared" ref="I33:R33" si="8">SUM(I34:I37)</f>
        <v>126.794</v>
      </c>
      <c r="J33" s="15">
        <f t="shared" si="8"/>
        <v>126.211</v>
      </c>
      <c r="K33" s="15">
        <f t="shared" si="8"/>
        <v>110.572</v>
      </c>
      <c r="L33" s="15">
        <f t="shared" si="8"/>
        <v>126.845</v>
      </c>
      <c r="M33" s="15">
        <f t="shared" si="8"/>
        <v>120</v>
      </c>
      <c r="N33" s="15">
        <f t="shared" si="8"/>
        <v>121</v>
      </c>
      <c r="O33" s="15">
        <f>SUM(O34:O37)</f>
        <v>124</v>
      </c>
      <c r="P33" s="15">
        <f t="shared" si="8"/>
        <v>124</v>
      </c>
      <c r="Q33" s="15">
        <f t="shared" si="8"/>
        <v>124</v>
      </c>
      <c r="R33" s="15">
        <f t="shared" si="8"/>
        <v>124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21">
        <v>114.542</v>
      </c>
      <c r="I36" s="21">
        <v>126.794</v>
      </c>
      <c r="J36" s="21">
        <v>126.211</v>
      </c>
      <c r="K36" s="21">
        <v>110.572</v>
      </c>
      <c r="L36" s="21">
        <v>126.845</v>
      </c>
      <c r="M36" s="21">
        <v>120</v>
      </c>
      <c r="N36" s="21">
        <v>121</v>
      </c>
      <c r="O36" s="21">
        <v>124</v>
      </c>
      <c r="P36" s="21">
        <v>124</v>
      </c>
      <c r="Q36" s="21">
        <v>124</v>
      </c>
      <c r="R36" s="21">
        <v>124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15">
        <f>H39+H40</f>
        <v>0</v>
      </c>
      <c r="I38" s="15">
        <f t="shared" ref="I38:R38" si="9">I39+I40</f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9"/>
        <v>0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15">
        <f>SUM(H42:H45)</f>
        <v>-103.88500000000001</v>
      </c>
      <c r="I41" s="15">
        <f t="shared" ref="I41:R41" si="10">SUM(I42:I45)</f>
        <v>-124.404</v>
      </c>
      <c r="J41" s="15">
        <f t="shared" si="10"/>
        <v>-127.661</v>
      </c>
      <c r="K41" s="15">
        <f t="shared" si="10"/>
        <v>-116.771</v>
      </c>
      <c r="L41" s="15">
        <f t="shared" si="10"/>
        <v>-130.41900000000001</v>
      </c>
      <c r="M41" s="15">
        <f t="shared" si="10"/>
        <v>-117</v>
      </c>
      <c r="N41" s="15">
        <f t="shared" si="10"/>
        <v>-130</v>
      </c>
      <c r="O41" s="15">
        <f t="shared" si="10"/>
        <v>-124</v>
      </c>
      <c r="P41" s="15">
        <f t="shared" si="10"/>
        <v>-124</v>
      </c>
      <c r="Q41" s="15">
        <f t="shared" si="10"/>
        <v>-124</v>
      </c>
      <c r="R41" s="15">
        <f t="shared" si="10"/>
        <v>-124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21">
        <v>-61.642000000000003</v>
      </c>
      <c r="I42" s="21">
        <v>-58.91</v>
      </c>
      <c r="J42" s="21">
        <v>-63.688000000000002</v>
      </c>
      <c r="K42" s="21">
        <v>-58.69</v>
      </c>
      <c r="L42" s="21">
        <v>-59.844999999999999</v>
      </c>
      <c r="M42" s="21">
        <v>-56</v>
      </c>
      <c r="N42" s="21">
        <v>-53</v>
      </c>
      <c r="O42" s="21">
        <v>-56</v>
      </c>
      <c r="P42" s="21">
        <v>-56</v>
      </c>
      <c r="Q42" s="21">
        <v>-56</v>
      </c>
      <c r="R42" s="21">
        <v>-56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21">
        <v>-39.618000000000002</v>
      </c>
      <c r="I43" s="21">
        <v>-61.131</v>
      </c>
      <c r="J43" s="21">
        <v>-60.734999999999999</v>
      </c>
      <c r="K43" s="21">
        <v>-54.832999999999998</v>
      </c>
      <c r="L43" s="21">
        <v>-66.093000000000004</v>
      </c>
      <c r="M43" s="21">
        <v>-56</v>
      </c>
      <c r="N43" s="21">
        <v>-73</v>
      </c>
      <c r="O43" s="21">
        <v>-65</v>
      </c>
      <c r="P43" s="21">
        <v>-65</v>
      </c>
      <c r="Q43" s="21">
        <v>-65</v>
      </c>
      <c r="R43" s="21">
        <v>-65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21">
        <v>-2.625</v>
      </c>
      <c r="I44" s="21">
        <v>-4.3630000000000004</v>
      </c>
      <c r="J44" s="21">
        <v>-3.238</v>
      </c>
      <c r="K44" s="21">
        <v>-3.2480000000000002</v>
      </c>
      <c r="L44" s="21">
        <v>-4.4809999999999999</v>
      </c>
      <c r="M44" s="21">
        <v>-5</v>
      </c>
      <c r="N44" s="21">
        <v>-4</v>
      </c>
      <c r="O44" s="21">
        <v>-3</v>
      </c>
      <c r="P44" s="21">
        <v>-3</v>
      </c>
      <c r="Q44" s="21">
        <v>-3</v>
      </c>
      <c r="R44" s="21">
        <v>-3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x14ac:dyDescent="0.2">
      <c r="B46" s="2" t="s">
        <v>107</v>
      </c>
      <c r="G46" s="18" t="s">
        <v>108</v>
      </c>
      <c r="H46" s="15">
        <f>H33+H38+H41</f>
        <v>10.656999999999996</v>
      </c>
      <c r="I46" s="15">
        <f t="shared" ref="I46:R46" si="11">I33+I38+I41</f>
        <v>2.3900000000000006</v>
      </c>
      <c r="J46" s="15">
        <f t="shared" si="11"/>
        <v>-1.4500000000000028</v>
      </c>
      <c r="K46" s="15">
        <f t="shared" si="11"/>
        <v>-6.1989999999999981</v>
      </c>
      <c r="L46" s="15">
        <f t="shared" si="11"/>
        <v>-3.5740000000000123</v>
      </c>
      <c r="M46" s="15">
        <f t="shared" si="11"/>
        <v>3</v>
      </c>
      <c r="N46" s="15">
        <f t="shared" si="11"/>
        <v>-9</v>
      </c>
      <c r="O46" s="15">
        <f t="shared" si="11"/>
        <v>0</v>
      </c>
      <c r="P46" s="15">
        <f t="shared" si="11"/>
        <v>0</v>
      </c>
      <c r="Q46" s="15">
        <f t="shared" si="11"/>
        <v>0</v>
      </c>
      <c r="R46" s="15">
        <f t="shared" si="11"/>
        <v>0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21">
        <v>6.5000000000000002E-2</v>
      </c>
      <c r="I47" s="21">
        <v>0.191</v>
      </c>
      <c r="J47" s="21">
        <v>0</v>
      </c>
      <c r="K47" s="21">
        <v>0</v>
      </c>
      <c r="L47" s="21">
        <v>6.6000000000000003E-2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1:18" x14ac:dyDescent="0.2">
      <c r="B48" s="2" t="s">
        <v>111</v>
      </c>
      <c r="G48" s="18" t="s">
        <v>112</v>
      </c>
      <c r="H48" s="15">
        <f>H46+H47</f>
        <v>10.721999999999996</v>
      </c>
      <c r="I48" s="15">
        <f t="shared" ref="I48:R48" si="12">I46+I47</f>
        <v>2.5810000000000004</v>
      </c>
      <c r="J48" s="15">
        <f t="shared" si="12"/>
        <v>-1.4500000000000028</v>
      </c>
      <c r="K48" s="15">
        <f t="shared" si="12"/>
        <v>-6.1989999999999981</v>
      </c>
      <c r="L48" s="15">
        <f t="shared" si="12"/>
        <v>-3.5080000000000124</v>
      </c>
      <c r="M48" s="15">
        <f t="shared" si="12"/>
        <v>3</v>
      </c>
      <c r="N48" s="15">
        <f t="shared" si="12"/>
        <v>-9</v>
      </c>
      <c r="O48" s="15">
        <f t="shared" si="12"/>
        <v>0</v>
      </c>
      <c r="P48" s="15">
        <f t="shared" si="12"/>
        <v>0</v>
      </c>
      <c r="Q48" s="15">
        <f t="shared" si="12"/>
        <v>0</v>
      </c>
      <c r="R48" s="15">
        <f t="shared" si="12"/>
        <v>0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x14ac:dyDescent="0.2">
      <c r="B51" s="2" t="s">
        <v>117</v>
      </c>
      <c r="G51" s="18" t="s">
        <v>118</v>
      </c>
      <c r="H51" s="15">
        <f>H48+H49+H50</f>
        <v>10.721999999999996</v>
      </c>
      <c r="I51" s="15">
        <f t="shared" ref="I51:R51" si="13">I48+I49+I50</f>
        <v>2.5810000000000004</v>
      </c>
      <c r="J51" s="15">
        <f t="shared" si="13"/>
        <v>-1.4500000000000028</v>
      </c>
      <c r="K51" s="15">
        <f t="shared" si="13"/>
        <v>-6.1989999999999981</v>
      </c>
      <c r="L51" s="15">
        <f t="shared" si="13"/>
        <v>-3.5080000000000124</v>
      </c>
      <c r="M51" s="15">
        <f t="shared" si="13"/>
        <v>3</v>
      </c>
      <c r="N51" s="15">
        <f t="shared" si="13"/>
        <v>-9</v>
      </c>
      <c r="O51" s="15">
        <f t="shared" si="13"/>
        <v>0</v>
      </c>
      <c r="P51" s="15">
        <f t="shared" si="13"/>
        <v>0</v>
      </c>
      <c r="Q51" s="15">
        <f t="shared" si="13"/>
        <v>0</v>
      </c>
      <c r="R51" s="15">
        <f t="shared" si="13"/>
        <v>0</v>
      </c>
    </row>
    <row r="52" spans="1:18" x14ac:dyDescent="0.2">
      <c r="A52" s="43"/>
      <c r="C52" s="44"/>
      <c r="D52" s="44"/>
      <c r="E52" s="45"/>
      <c r="F52" s="43"/>
      <c r="G52" s="38" t="s">
        <v>119</v>
      </c>
      <c r="H52" s="39">
        <f>H30-H51</f>
        <v>0</v>
      </c>
      <c r="I52" s="39">
        <f t="shared" ref="I52:R52" si="14">I30-I51</f>
        <v>-0.13400000000000034</v>
      </c>
      <c r="J52" s="39">
        <f t="shared" si="14"/>
        <v>2.886579864025407E-15</v>
      </c>
      <c r="K52" s="39">
        <f t="shared" si="14"/>
        <v>-1.0000000000021103E-3</v>
      </c>
      <c r="L52" s="39">
        <f t="shared" si="14"/>
        <v>1.0000000000123244E-3</v>
      </c>
      <c r="M52" s="39">
        <f t="shared" si="14"/>
        <v>0</v>
      </c>
      <c r="N52" s="39">
        <f t="shared" si="14"/>
        <v>0</v>
      </c>
      <c r="O52" s="39">
        <f t="shared" si="14"/>
        <v>0</v>
      </c>
      <c r="P52" s="39">
        <f t="shared" si="14"/>
        <v>0</v>
      </c>
      <c r="Q52" s="39">
        <f t="shared" si="14"/>
        <v>0</v>
      </c>
      <c r="R52" s="39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21">
        <v>3</v>
      </c>
      <c r="I54" s="21">
        <v>3</v>
      </c>
      <c r="J54" s="21">
        <v>3</v>
      </c>
      <c r="K54" s="21">
        <v>3</v>
      </c>
      <c r="L54" s="21">
        <v>3</v>
      </c>
      <c r="M54" s="21">
        <v>3</v>
      </c>
      <c r="N54" s="21">
        <v>3</v>
      </c>
      <c r="O54" s="21">
        <v>3</v>
      </c>
      <c r="P54" s="21">
        <v>3</v>
      </c>
      <c r="Q54" s="21">
        <v>3</v>
      </c>
      <c r="R54" s="21">
        <v>3</v>
      </c>
    </row>
    <row r="55" spans="1:18" ht="12" x14ac:dyDescent="0.2">
      <c r="E55" s="20" t="s">
        <v>14</v>
      </c>
      <c r="G55" s="46" t="s">
        <v>122</v>
      </c>
      <c r="H55" s="21"/>
      <c r="I55" s="21"/>
      <c r="J55" s="21"/>
      <c r="K55" s="21"/>
      <c r="L55" s="47"/>
      <c r="M55" s="47"/>
      <c r="N55" s="47"/>
      <c r="O55" s="47"/>
      <c r="P55" s="47"/>
      <c r="Q55" s="47"/>
      <c r="R55" s="47"/>
    </row>
    <row r="57" spans="1:18" x14ac:dyDescent="0.2">
      <c r="D57" s="49" t="s">
        <v>123</v>
      </c>
      <c r="E57" s="50" t="s">
        <v>3</v>
      </c>
      <c r="F57" s="17"/>
      <c r="G57" s="11" t="s">
        <v>124</v>
      </c>
      <c r="H57" s="41">
        <f>H32</f>
        <v>2011</v>
      </c>
      <c r="I57" s="41">
        <f t="shared" ref="I57:R57" si="15">I32</f>
        <v>2012</v>
      </c>
      <c r="J57" s="41">
        <f t="shared" si="15"/>
        <v>2013</v>
      </c>
      <c r="K57" s="41">
        <f t="shared" si="15"/>
        <v>2014</v>
      </c>
      <c r="L57" s="41">
        <f t="shared" si="15"/>
        <v>2015</v>
      </c>
      <c r="M57" s="41">
        <f t="shared" si="15"/>
        <v>2016</v>
      </c>
      <c r="N57" s="41">
        <f t="shared" si="15"/>
        <v>2017</v>
      </c>
      <c r="O57" s="41">
        <f t="shared" si="15"/>
        <v>2018</v>
      </c>
      <c r="P57" s="41">
        <f t="shared" si="15"/>
        <v>2019</v>
      </c>
      <c r="Q57" s="41">
        <f t="shared" si="15"/>
        <v>2020</v>
      </c>
      <c r="R57" s="41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14" t="s">
        <v>128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21">
        <v>-3.2000000000000001E-2</v>
      </c>
      <c r="I70" s="21">
        <v>0.14799999999999999</v>
      </c>
      <c r="J70" s="21">
        <v>8.0000000000000002E-3</v>
      </c>
      <c r="K70" s="21">
        <v>0</v>
      </c>
      <c r="L70" s="21">
        <v>3.5000000000000003E-2</v>
      </c>
      <c r="M70" s="21">
        <v>3.5000000000000003E-2</v>
      </c>
      <c r="N70" s="21">
        <v>3.5000000000000003E-2</v>
      </c>
      <c r="O70" s="21">
        <v>3.5000000000000003E-2</v>
      </c>
      <c r="P70" s="21">
        <v>3.5000000000000003E-2</v>
      </c>
      <c r="Q70" s="21">
        <v>0</v>
      </c>
      <c r="R70" s="21">
        <v>0</v>
      </c>
    </row>
    <row r="71" spans="2:18" x14ac:dyDescent="0.2">
      <c r="B71" s="51" t="s">
        <v>162</v>
      </c>
      <c r="D71" s="16"/>
      <c r="E71" s="22"/>
      <c r="F71" s="22"/>
      <c r="G71" s="57" t="s">
        <v>163</v>
      </c>
      <c r="H71" s="15">
        <f t="shared" ref="H71:R71" si="16">SUM(H58:H70)</f>
        <v>-3.2000000000000001E-2</v>
      </c>
      <c r="I71" s="15">
        <f t="shared" si="16"/>
        <v>0.14799999999999999</v>
      </c>
      <c r="J71" s="15">
        <f t="shared" si="16"/>
        <v>8.0000000000000002E-3</v>
      </c>
      <c r="K71" s="15">
        <f t="shared" si="16"/>
        <v>0</v>
      </c>
      <c r="L71" s="15">
        <f t="shared" si="16"/>
        <v>3.5000000000000003E-2</v>
      </c>
      <c r="M71" s="15">
        <f t="shared" si="16"/>
        <v>3.5000000000000003E-2</v>
      </c>
      <c r="N71" s="15">
        <f t="shared" si="16"/>
        <v>3.5000000000000003E-2</v>
      </c>
      <c r="O71" s="15">
        <f t="shared" si="16"/>
        <v>3.5000000000000003E-2</v>
      </c>
      <c r="P71" s="15">
        <f t="shared" si="16"/>
        <v>3.5000000000000003E-2</v>
      </c>
      <c r="Q71" s="15">
        <f t="shared" si="16"/>
        <v>0</v>
      </c>
      <c r="R71" s="15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11" t="s">
        <v>164</v>
      </c>
      <c r="H73" s="41">
        <f t="shared" ref="H73:R73" si="17">H57</f>
        <v>2011</v>
      </c>
      <c r="I73" s="41">
        <f t="shared" si="17"/>
        <v>2012</v>
      </c>
      <c r="J73" s="41">
        <f t="shared" si="17"/>
        <v>2013</v>
      </c>
      <c r="K73" s="41">
        <f t="shared" si="17"/>
        <v>2014</v>
      </c>
      <c r="L73" s="41">
        <f t="shared" si="17"/>
        <v>2015</v>
      </c>
      <c r="M73" s="41">
        <f t="shared" si="17"/>
        <v>2016</v>
      </c>
      <c r="N73" s="41">
        <f t="shared" si="17"/>
        <v>2017</v>
      </c>
      <c r="O73" s="41">
        <f t="shared" si="17"/>
        <v>2018</v>
      </c>
      <c r="P73" s="41">
        <f t="shared" si="17"/>
        <v>2019</v>
      </c>
      <c r="Q73" s="41">
        <f t="shared" si="17"/>
        <v>2020</v>
      </c>
      <c r="R73" s="41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14" t="s">
        <v>167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21">
        <v>0</v>
      </c>
      <c r="I79" s="21">
        <v>-3.9E-2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59" t="s">
        <v>114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</row>
    <row r="85" spans="1:18" x14ac:dyDescent="0.2">
      <c r="B85" s="2" t="s">
        <v>192</v>
      </c>
      <c r="G85" s="59" t="s">
        <v>163</v>
      </c>
      <c r="H85" s="15">
        <f t="shared" ref="H85:R85" si="18">SUM(H74:H84)</f>
        <v>0</v>
      </c>
      <c r="I85" s="15">
        <f t="shared" si="18"/>
        <v>-3.9E-2</v>
      </c>
      <c r="J85" s="15">
        <f t="shared" si="18"/>
        <v>0</v>
      </c>
      <c r="K85" s="15">
        <f t="shared" si="18"/>
        <v>0</v>
      </c>
      <c r="L85" s="15">
        <f t="shared" si="18"/>
        <v>0</v>
      </c>
      <c r="M85" s="15">
        <f t="shared" si="18"/>
        <v>0</v>
      </c>
      <c r="N85" s="15">
        <f t="shared" si="18"/>
        <v>0</v>
      </c>
      <c r="O85" s="15">
        <f t="shared" si="18"/>
        <v>0</v>
      </c>
      <c r="P85" s="15">
        <f t="shared" si="18"/>
        <v>0</v>
      </c>
      <c r="Q85" s="15">
        <f t="shared" si="18"/>
        <v>0</v>
      </c>
      <c r="R85" s="15">
        <f t="shared" si="18"/>
        <v>0</v>
      </c>
    </row>
    <row r="87" spans="1:18" x14ac:dyDescent="0.2">
      <c r="A87" s="23" t="s">
        <v>0</v>
      </c>
      <c r="D87" s="1279" t="s">
        <v>193</v>
      </c>
      <c r="E87" s="1280"/>
      <c r="G87" s="11" t="s">
        <v>194</v>
      </c>
      <c r="H87" s="41">
        <f t="shared" ref="H87:R87" si="19">H32</f>
        <v>2011</v>
      </c>
      <c r="I87" s="41">
        <f t="shared" si="19"/>
        <v>2012</v>
      </c>
      <c r="J87" s="41">
        <f t="shared" si="19"/>
        <v>2013</v>
      </c>
      <c r="K87" s="41">
        <f t="shared" si="19"/>
        <v>2014</v>
      </c>
      <c r="L87" s="41">
        <f t="shared" si="19"/>
        <v>2015</v>
      </c>
      <c r="M87" s="41">
        <f t="shared" si="19"/>
        <v>2016</v>
      </c>
      <c r="N87" s="41">
        <f t="shared" si="19"/>
        <v>2017</v>
      </c>
      <c r="O87" s="41">
        <f t="shared" si="19"/>
        <v>2018</v>
      </c>
      <c r="P87" s="41">
        <f t="shared" si="19"/>
        <v>2019</v>
      </c>
      <c r="Q87" s="41">
        <f t="shared" si="19"/>
        <v>2020</v>
      </c>
      <c r="R87" s="41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60"/>
      <c r="G88" s="14" t="s">
        <v>198</v>
      </c>
      <c r="H88" s="15">
        <f>H46+H71</f>
        <v>10.624999999999996</v>
      </c>
      <c r="I88" s="15">
        <f t="shared" ref="I88:R88" si="20">I46+I71</f>
        <v>2.5380000000000007</v>
      </c>
      <c r="J88" s="15">
        <f t="shared" si="20"/>
        <v>-1.4420000000000028</v>
      </c>
      <c r="K88" s="15">
        <f t="shared" si="20"/>
        <v>-6.1989999999999981</v>
      </c>
      <c r="L88" s="15">
        <f t="shared" si="20"/>
        <v>-3.5390000000000121</v>
      </c>
      <c r="M88" s="15">
        <f t="shared" si="20"/>
        <v>3.0350000000000001</v>
      </c>
      <c r="N88" s="15">
        <f t="shared" si="20"/>
        <v>-8.9649999999999999</v>
      </c>
      <c r="O88" s="15">
        <f t="shared" si="20"/>
        <v>3.5000000000000003E-2</v>
      </c>
      <c r="P88" s="15">
        <f t="shared" si="20"/>
        <v>3.5000000000000003E-2</v>
      </c>
      <c r="Q88" s="15">
        <f t="shared" si="20"/>
        <v>0</v>
      </c>
      <c r="R88" s="15">
        <f t="shared" si="20"/>
        <v>0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60"/>
      <c r="G89" s="14" t="s">
        <v>202</v>
      </c>
      <c r="H89" s="61">
        <f t="shared" ref="H89:R89" si="21">H33+H38+H41-H45</f>
        <v>10.656999999999996</v>
      </c>
      <c r="I89" s="15">
        <f t="shared" si="21"/>
        <v>2.3900000000000006</v>
      </c>
      <c r="J89" s="15">
        <f t="shared" si="21"/>
        <v>-1.4500000000000028</v>
      </c>
      <c r="K89" s="15">
        <f t="shared" si="21"/>
        <v>-6.1989999999999981</v>
      </c>
      <c r="L89" s="15">
        <f t="shared" si="21"/>
        <v>-3.5740000000000123</v>
      </c>
      <c r="M89" s="15">
        <f t="shared" si="21"/>
        <v>3</v>
      </c>
      <c r="N89" s="15">
        <f t="shared" si="21"/>
        <v>-9</v>
      </c>
      <c r="O89" s="15">
        <f t="shared" si="21"/>
        <v>0</v>
      </c>
      <c r="P89" s="15">
        <f t="shared" si="21"/>
        <v>0</v>
      </c>
      <c r="Q89" s="15">
        <f t="shared" si="21"/>
        <v>0</v>
      </c>
      <c r="R89" s="15">
        <f t="shared" si="21"/>
        <v>0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62">
        <v>0</v>
      </c>
      <c r="G90" s="59" t="s">
        <v>206</v>
      </c>
      <c r="H90" s="63">
        <f t="shared" ref="H90:R90" si="22">H89/H33</f>
        <v>9.3040107558799365E-2</v>
      </c>
      <c r="I90" s="64">
        <f t="shared" si="22"/>
        <v>1.8849472372509744E-2</v>
      </c>
      <c r="J90" s="64">
        <f t="shared" si="22"/>
        <v>-1.1488697498633264E-2</v>
      </c>
      <c r="K90" s="64">
        <f t="shared" si="22"/>
        <v>-5.6063017762182088E-2</v>
      </c>
      <c r="L90" s="64">
        <f t="shared" si="22"/>
        <v>-2.8176120461981254E-2</v>
      </c>
      <c r="M90" s="64">
        <f t="shared" si="22"/>
        <v>2.5000000000000001E-2</v>
      </c>
      <c r="N90" s="64">
        <f t="shared" si="22"/>
        <v>-7.43801652892562E-2</v>
      </c>
      <c r="O90" s="64">
        <f t="shared" si="22"/>
        <v>0</v>
      </c>
      <c r="P90" s="64">
        <f t="shared" si="22"/>
        <v>0</v>
      </c>
      <c r="Q90" s="64">
        <f t="shared" si="22"/>
        <v>0</v>
      </c>
      <c r="R90" s="64">
        <f t="shared" si="22"/>
        <v>0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60"/>
      <c r="G91" s="18" t="s">
        <v>210</v>
      </c>
      <c r="H91" s="65">
        <f t="shared" ref="H91:R91" si="23">-H33/(H38+H41)</f>
        <v>1.1025845887279202</v>
      </c>
      <c r="I91" s="65">
        <f t="shared" si="23"/>
        <v>1.019211600913154</v>
      </c>
      <c r="J91" s="65">
        <f t="shared" si="23"/>
        <v>0.98864179349997261</v>
      </c>
      <c r="K91" s="65">
        <f t="shared" si="23"/>
        <v>0.94691318906235278</v>
      </c>
      <c r="L91" s="65">
        <f t="shared" si="23"/>
        <v>0.97259601745144486</v>
      </c>
      <c r="M91" s="65">
        <f t="shared" si="23"/>
        <v>1.0256410256410255</v>
      </c>
      <c r="N91" s="65">
        <f t="shared" si="23"/>
        <v>0.93076923076923079</v>
      </c>
      <c r="O91" s="65">
        <f t="shared" si="23"/>
        <v>1</v>
      </c>
      <c r="P91" s="65">
        <f t="shared" si="23"/>
        <v>1</v>
      </c>
      <c r="Q91" s="65">
        <f t="shared" si="23"/>
        <v>1</v>
      </c>
      <c r="R91" s="65">
        <f t="shared" si="23"/>
        <v>1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60"/>
      <c r="G92" s="14" t="s">
        <v>214</v>
      </c>
      <c r="H92" s="61">
        <f>H46</f>
        <v>10.656999999999996</v>
      </c>
      <c r="I92" s="61">
        <f t="shared" ref="I92:R92" si="24">I46</f>
        <v>2.3900000000000006</v>
      </c>
      <c r="J92" s="61">
        <f t="shared" si="24"/>
        <v>-1.4500000000000028</v>
      </c>
      <c r="K92" s="61">
        <f t="shared" si="24"/>
        <v>-6.1989999999999981</v>
      </c>
      <c r="L92" s="61">
        <f t="shared" si="24"/>
        <v>-3.5740000000000123</v>
      </c>
      <c r="M92" s="61">
        <f t="shared" si="24"/>
        <v>3</v>
      </c>
      <c r="N92" s="61">
        <f t="shared" si="24"/>
        <v>-9</v>
      </c>
      <c r="O92" s="61">
        <f t="shared" si="24"/>
        <v>0</v>
      </c>
      <c r="P92" s="61">
        <f t="shared" si="24"/>
        <v>0</v>
      </c>
      <c r="Q92" s="61">
        <f t="shared" si="24"/>
        <v>0</v>
      </c>
      <c r="R92" s="61">
        <f t="shared" si="24"/>
        <v>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62">
        <v>-0.3</v>
      </c>
      <c r="E93" s="62">
        <v>0</v>
      </c>
      <c r="G93" s="18" t="s">
        <v>218</v>
      </c>
      <c r="H93" s="66">
        <f>H46/H33</f>
        <v>9.3040107558799365E-2</v>
      </c>
      <c r="I93" s="67">
        <f t="shared" ref="I93:R93" si="25">I46/I33</f>
        <v>1.8849472372509744E-2</v>
      </c>
      <c r="J93" s="67">
        <f t="shared" si="25"/>
        <v>-1.1488697498633264E-2</v>
      </c>
      <c r="K93" s="67">
        <f t="shared" si="25"/>
        <v>-5.6063017762182088E-2</v>
      </c>
      <c r="L93" s="67">
        <f t="shared" si="25"/>
        <v>-2.8176120461981254E-2</v>
      </c>
      <c r="M93" s="67">
        <f t="shared" si="25"/>
        <v>2.5000000000000001E-2</v>
      </c>
      <c r="N93" s="67">
        <f t="shared" si="25"/>
        <v>-7.43801652892562E-2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60"/>
      <c r="G94" s="59" t="s">
        <v>222</v>
      </c>
      <c r="H94" s="61">
        <f>H29+H30</f>
        <v>14.763999999999999</v>
      </c>
      <c r="I94" s="61">
        <f t="shared" ref="I94:R94" si="26">I29+I30</f>
        <v>17.21</v>
      </c>
      <c r="J94" s="61">
        <f t="shared" si="26"/>
        <v>15.760000000000002</v>
      </c>
      <c r="K94" s="61">
        <f t="shared" si="26"/>
        <v>9.5599999999999987</v>
      </c>
      <c r="L94" s="61">
        <f t="shared" si="26"/>
        <v>6.0530000000000008</v>
      </c>
      <c r="M94" s="61">
        <f t="shared" si="26"/>
        <v>9</v>
      </c>
      <c r="N94" s="61">
        <f t="shared" si="26"/>
        <v>0</v>
      </c>
      <c r="O94" s="61">
        <f t="shared" si="26"/>
        <v>0</v>
      </c>
      <c r="P94" s="61">
        <f t="shared" si="26"/>
        <v>0</v>
      </c>
      <c r="Q94" s="61">
        <f t="shared" si="26"/>
        <v>0</v>
      </c>
      <c r="R94" s="61">
        <f t="shared" si="26"/>
        <v>0</v>
      </c>
    </row>
    <row r="95" spans="1:18" x14ac:dyDescent="0.2">
      <c r="G95" s="68" t="s">
        <v>223</v>
      </c>
      <c r="H95" s="41">
        <f t="shared" ref="H95:R95" si="27">H87</f>
        <v>2011</v>
      </c>
      <c r="I95" s="41">
        <f t="shared" si="27"/>
        <v>2012</v>
      </c>
      <c r="J95" s="41">
        <f t="shared" si="27"/>
        <v>2013</v>
      </c>
      <c r="K95" s="41">
        <f t="shared" si="27"/>
        <v>2014</v>
      </c>
      <c r="L95" s="41">
        <f t="shared" si="27"/>
        <v>2015</v>
      </c>
      <c r="M95" s="41">
        <f t="shared" si="27"/>
        <v>2016</v>
      </c>
      <c r="N95" s="41">
        <f t="shared" si="27"/>
        <v>2017</v>
      </c>
      <c r="O95" s="41">
        <f t="shared" si="27"/>
        <v>2018</v>
      </c>
      <c r="P95" s="41">
        <f t="shared" si="27"/>
        <v>2019</v>
      </c>
      <c r="Q95" s="41">
        <f t="shared" si="27"/>
        <v>2020</v>
      </c>
      <c r="R95" s="41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60"/>
      <c r="F96" s="69"/>
      <c r="G96" s="14" t="s">
        <v>227</v>
      </c>
      <c r="H96" s="61">
        <f t="shared" ref="H96:R96" si="28">H6+H12</f>
        <v>23.228000000000002</v>
      </c>
      <c r="I96" s="15">
        <f t="shared" si="28"/>
        <v>18.942</v>
      </c>
      <c r="J96" s="15">
        <f t="shared" si="28"/>
        <v>17.236000000000001</v>
      </c>
      <c r="K96" s="15">
        <f t="shared" si="28"/>
        <v>10.952999999999999</v>
      </c>
      <c r="L96" s="15">
        <f t="shared" si="28"/>
        <v>6.5579999999999998</v>
      </c>
      <c r="M96" s="15">
        <f t="shared" si="28"/>
        <v>10</v>
      </c>
      <c r="N96" s="15">
        <f t="shared" si="28"/>
        <v>2</v>
      </c>
      <c r="O96" s="15">
        <f t="shared" si="28"/>
        <v>2</v>
      </c>
      <c r="P96" s="15">
        <f t="shared" si="28"/>
        <v>2</v>
      </c>
      <c r="Q96" s="15">
        <f t="shared" si="28"/>
        <v>2</v>
      </c>
      <c r="R96" s="15">
        <f t="shared" si="28"/>
        <v>2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60"/>
      <c r="F97" s="69"/>
      <c r="G97" s="18" t="s">
        <v>230</v>
      </c>
      <c r="H97" s="61">
        <f>H19</f>
        <v>11.683</v>
      </c>
      <c r="I97" s="61">
        <f t="shared" ref="I97:R97" si="29">I19</f>
        <v>4.5880000000000001</v>
      </c>
      <c r="J97" s="61">
        <f t="shared" si="29"/>
        <v>3.8530000000000002</v>
      </c>
      <c r="K97" s="61">
        <f t="shared" si="29"/>
        <v>3.4470000000000001</v>
      </c>
      <c r="L97" s="61">
        <f t="shared" si="29"/>
        <v>5.4509999999999996</v>
      </c>
      <c r="M97" s="61">
        <f t="shared" si="29"/>
        <v>3</v>
      </c>
      <c r="N97" s="61">
        <f t="shared" si="29"/>
        <v>3</v>
      </c>
      <c r="O97" s="61">
        <f t="shared" si="29"/>
        <v>3</v>
      </c>
      <c r="P97" s="61">
        <f t="shared" si="29"/>
        <v>3</v>
      </c>
      <c r="Q97" s="61">
        <f t="shared" si="29"/>
        <v>3</v>
      </c>
      <c r="R97" s="61">
        <f t="shared" si="29"/>
        <v>3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60"/>
      <c r="F98" s="69"/>
      <c r="G98" s="18" t="s">
        <v>234</v>
      </c>
      <c r="H98" s="61">
        <f t="shared" ref="H98:R98" si="30">H97-H96</f>
        <v>-11.545000000000002</v>
      </c>
      <c r="I98" s="15">
        <f t="shared" si="30"/>
        <v>-14.353999999999999</v>
      </c>
      <c r="J98" s="15">
        <f t="shared" si="30"/>
        <v>-13.383000000000001</v>
      </c>
      <c r="K98" s="15">
        <f t="shared" si="30"/>
        <v>-7.5059999999999993</v>
      </c>
      <c r="L98" s="15">
        <f t="shared" si="30"/>
        <v>-1.1070000000000002</v>
      </c>
      <c r="M98" s="15">
        <f t="shared" si="30"/>
        <v>-7</v>
      </c>
      <c r="N98" s="15">
        <f t="shared" si="30"/>
        <v>1</v>
      </c>
      <c r="O98" s="15">
        <f t="shared" si="30"/>
        <v>1</v>
      </c>
      <c r="P98" s="15">
        <f t="shared" si="30"/>
        <v>1</v>
      </c>
      <c r="Q98" s="15">
        <f t="shared" si="30"/>
        <v>1</v>
      </c>
      <c r="R98" s="15">
        <f t="shared" si="30"/>
        <v>1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62">
        <v>0.4</v>
      </c>
      <c r="F99" s="69"/>
      <c r="G99" s="18" t="s">
        <v>238</v>
      </c>
      <c r="H99" s="70">
        <f t="shared" ref="H99:R99" si="31">H98/H33</f>
        <v>-0.10079272232019697</v>
      </c>
      <c r="I99" s="64">
        <f t="shared" si="31"/>
        <v>-0.11320724955439532</v>
      </c>
      <c r="J99" s="64">
        <f t="shared" si="31"/>
        <v>-0.1060367162925577</v>
      </c>
      <c r="K99" s="64">
        <f t="shared" si="31"/>
        <v>-6.788337011178236E-2</v>
      </c>
      <c r="L99" s="64">
        <f t="shared" si="31"/>
        <v>-8.7271867239544342E-3</v>
      </c>
      <c r="M99" s="64">
        <f t="shared" si="31"/>
        <v>-5.8333333333333334E-2</v>
      </c>
      <c r="N99" s="64">
        <f t="shared" si="31"/>
        <v>8.2644628099173556E-3</v>
      </c>
      <c r="O99" s="64">
        <f t="shared" si="31"/>
        <v>8.0645161290322578E-3</v>
      </c>
      <c r="P99" s="64">
        <f t="shared" si="31"/>
        <v>8.0645161290322578E-3</v>
      </c>
      <c r="Q99" s="64">
        <f t="shared" si="31"/>
        <v>8.0645161290322578E-3</v>
      </c>
      <c r="R99" s="64">
        <f t="shared" si="31"/>
        <v>8.0645161290322578E-3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71">
        <v>0</v>
      </c>
      <c r="E100" s="71">
        <v>5</v>
      </c>
      <c r="F100" s="69"/>
      <c r="G100" s="18" t="s">
        <v>242</v>
      </c>
      <c r="H100" s="65">
        <f t="shared" ref="H100:R100" si="32">H98/H89</f>
        <v>-1.0833255137468336</v>
      </c>
      <c r="I100" s="65">
        <f t="shared" si="32"/>
        <v>-6.005857740585772</v>
      </c>
      <c r="J100" s="65">
        <f t="shared" si="32"/>
        <v>9.229655172413775</v>
      </c>
      <c r="K100" s="65">
        <f t="shared" si="32"/>
        <v>1.2108404581384098</v>
      </c>
      <c r="L100" s="65">
        <f t="shared" si="32"/>
        <v>0.30973698936765426</v>
      </c>
      <c r="M100" s="65">
        <f t="shared" si="32"/>
        <v>-2.3333333333333335</v>
      </c>
      <c r="N100" s="65">
        <f t="shared" si="32"/>
        <v>-0.1111111111111111</v>
      </c>
      <c r="O100" s="65" t="e">
        <f t="shared" si="32"/>
        <v>#DIV/0!</v>
      </c>
      <c r="P100" s="65" t="e">
        <f t="shared" si="32"/>
        <v>#DIV/0!</v>
      </c>
      <c r="Q100" s="65" t="e">
        <f t="shared" si="32"/>
        <v>#DIV/0!</v>
      </c>
      <c r="R100" s="65" t="e">
        <f t="shared" si="32"/>
        <v>#DIV/0!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60"/>
      <c r="F101" s="69"/>
      <c r="G101" s="18" t="s">
        <v>246</v>
      </c>
      <c r="H101" s="61">
        <f t="shared" ref="H101:R101" si="33">-(H75+H77+H78+H79+H80+H81)</f>
        <v>0</v>
      </c>
      <c r="I101" s="61">
        <f t="shared" si="33"/>
        <v>3.9E-2</v>
      </c>
      <c r="J101" s="61">
        <f t="shared" si="33"/>
        <v>0</v>
      </c>
      <c r="K101" s="61">
        <f t="shared" si="33"/>
        <v>0</v>
      </c>
      <c r="L101" s="61">
        <f t="shared" si="33"/>
        <v>0</v>
      </c>
      <c r="M101" s="61">
        <f t="shared" si="33"/>
        <v>0</v>
      </c>
      <c r="N101" s="61">
        <f t="shared" si="33"/>
        <v>0</v>
      </c>
      <c r="O101" s="61">
        <f t="shared" si="33"/>
        <v>0</v>
      </c>
      <c r="P101" s="61">
        <f t="shared" si="33"/>
        <v>0</v>
      </c>
      <c r="Q101" s="61">
        <f t="shared" si="33"/>
        <v>0</v>
      </c>
      <c r="R101" s="61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71">
        <v>1.2</v>
      </c>
      <c r="F102" s="69"/>
      <c r="G102" s="18" t="s">
        <v>250</v>
      </c>
      <c r="H102" s="72" t="e">
        <f t="shared" ref="H102:R102" si="34">H89/H101</f>
        <v>#DIV/0!</v>
      </c>
      <c r="I102" s="65">
        <f t="shared" si="34"/>
        <v>61.282051282051299</v>
      </c>
      <c r="J102" s="65" t="e">
        <f t="shared" si="34"/>
        <v>#DIV/0!</v>
      </c>
      <c r="K102" s="65" t="e">
        <f t="shared" si="34"/>
        <v>#DIV/0!</v>
      </c>
      <c r="L102" s="65" t="e">
        <f t="shared" si="34"/>
        <v>#DIV/0!</v>
      </c>
      <c r="M102" s="65" t="e">
        <f t="shared" si="34"/>
        <v>#DIV/0!</v>
      </c>
      <c r="N102" s="65" t="e">
        <f t="shared" si="34"/>
        <v>#DIV/0!</v>
      </c>
      <c r="O102" s="65" t="e">
        <f t="shared" si="34"/>
        <v>#DIV/0!</v>
      </c>
      <c r="P102" s="65" t="e">
        <f t="shared" si="34"/>
        <v>#DIV/0!</v>
      </c>
      <c r="Q102" s="65" t="e">
        <f t="shared" si="34"/>
        <v>#DIV/0!</v>
      </c>
      <c r="R102" s="65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71">
        <v>0</v>
      </c>
      <c r="F103" s="69"/>
      <c r="G103" s="14" t="s">
        <v>254</v>
      </c>
      <c r="H103" s="61">
        <f t="shared" ref="H103:R103" si="35">H5-H20</f>
        <v>14.764000000000003</v>
      </c>
      <c r="I103" s="61">
        <f t="shared" si="35"/>
        <v>17.210999999999999</v>
      </c>
      <c r="J103" s="61">
        <f t="shared" si="35"/>
        <v>15.761000000000001</v>
      </c>
      <c r="K103" s="61">
        <f t="shared" si="35"/>
        <v>9.5599999999999987</v>
      </c>
      <c r="L103" s="61">
        <f t="shared" si="35"/>
        <v>6.0529999999999999</v>
      </c>
      <c r="M103" s="61">
        <f t="shared" si="35"/>
        <v>9</v>
      </c>
      <c r="N103" s="61">
        <f t="shared" si="35"/>
        <v>0</v>
      </c>
      <c r="O103" s="61">
        <f t="shared" si="35"/>
        <v>3</v>
      </c>
      <c r="P103" s="61">
        <f t="shared" si="35"/>
        <v>3</v>
      </c>
      <c r="Q103" s="61">
        <f t="shared" si="35"/>
        <v>3</v>
      </c>
      <c r="R103" s="61">
        <f t="shared" si="35"/>
        <v>3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71">
        <v>1</v>
      </c>
      <c r="F104" s="69"/>
      <c r="G104" s="18" t="s">
        <v>258</v>
      </c>
      <c r="H104" s="72">
        <f t="shared" ref="H104:R104" si="36">H5/H20</f>
        <v>2.2637165111700766</v>
      </c>
      <c r="I104" s="72">
        <f t="shared" si="36"/>
        <v>4.751307759372275</v>
      </c>
      <c r="J104" s="72">
        <f t="shared" si="36"/>
        <v>5.090578769789774</v>
      </c>
      <c r="K104" s="72">
        <f t="shared" si="36"/>
        <v>3.7734261676820422</v>
      </c>
      <c r="L104" s="72">
        <f t="shared" si="36"/>
        <v>2.1104384516602459</v>
      </c>
      <c r="M104" s="72">
        <f t="shared" si="36"/>
        <v>4</v>
      </c>
      <c r="N104" s="72">
        <f t="shared" si="36"/>
        <v>1</v>
      </c>
      <c r="O104" s="72" t="e">
        <f t="shared" si="36"/>
        <v>#DIV/0!</v>
      </c>
      <c r="P104" s="72" t="e">
        <f t="shared" si="36"/>
        <v>#DIV/0!</v>
      </c>
      <c r="Q104" s="72" t="e">
        <f t="shared" si="36"/>
        <v>#DIV/0!</v>
      </c>
      <c r="R104" s="72" t="e">
        <f t="shared" si="36"/>
        <v>#DIV/0!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71">
        <v>1</v>
      </c>
      <c r="F105" s="69"/>
      <c r="G105" s="59" t="s">
        <v>262</v>
      </c>
      <c r="H105" s="72">
        <f t="shared" ref="H105:R105" si="37">-H6/((H38+H41-H45+H47)/12)</f>
        <v>2.6848006164515508</v>
      </c>
      <c r="I105" s="72">
        <f t="shared" si="37"/>
        <v>1.8299533865215396</v>
      </c>
      <c r="J105" s="72">
        <f t="shared" si="37"/>
        <v>1.6201659081473592</v>
      </c>
      <c r="K105" s="72">
        <f t="shared" si="37"/>
        <v>1.1255876887240837</v>
      </c>
      <c r="L105" s="72">
        <f t="shared" si="37"/>
        <v>0.60371452900968903</v>
      </c>
      <c r="M105" s="72">
        <f t="shared" si="37"/>
        <v>1.0256410256410255</v>
      </c>
      <c r="N105" s="72">
        <f t="shared" si="37"/>
        <v>0.1846153846153846</v>
      </c>
      <c r="O105" s="72">
        <f t="shared" si="37"/>
        <v>0.19354838709677419</v>
      </c>
      <c r="P105" s="72">
        <f t="shared" si="37"/>
        <v>0.19354838709677419</v>
      </c>
      <c r="Q105" s="72">
        <f t="shared" si="37"/>
        <v>0.19354838709677419</v>
      </c>
      <c r="R105" s="72">
        <f t="shared" si="37"/>
        <v>0.19354838709677419</v>
      </c>
    </row>
    <row r="106" spans="1:18" x14ac:dyDescent="0.2">
      <c r="C106" s="16"/>
      <c r="F106" s="69"/>
      <c r="G106" s="68" t="s">
        <v>263</v>
      </c>
      <c r="H106" s="41">
        <f t="shared" ref="H106:R106" si="38">H95</f>
        <v>2011</v>
      </c>
      <c r="I106" s="41">
        <f t="shared" si="38"/>
        <v>2012</v>
      </c>
      <c r="J106" s="41">
        <f t="shared" si="38"/>
        <v>2013</v>
      </c>
      <c r="K106" s="41">
        <f t="shared" si="38"/>
        <v>2014</v>
      </c>
      <c r="L106" s="41">
        <f t="shared" si="38"/>
        <v>2015</v>
      </c>
      <c r="M106" s="41">
        <f t="shared" si="38"/>
        <v>2016</v>
      </c>
      <c r="N106" s="41">
        <f t="shared" si="38"/>
        <v>2017</v>
      </c>
      <c r="O106" s="41">
        <f t="shared" si="38"/>
        <v>2018</v>
      </c>
      <c r="P106" s="41">
        <f t="shared" si="38"/>
        <v>2019</v>
      </c>
      <c r="Q106" s="41">
        <f t="shared" si="38"/>
        <v>2020</v>
      </c>
      <c r="R106" s="41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62">
        <v>0.6</v>
      </c>
      <c r="F107" s="69"/>
      <c r="G107" s="14" t="s">
        <v>267</v>
      </c>
      <c r="H107" s="70">
        <f t="shared" ref="H107:R107" si="39">H17/H4</f>
        <v>0</v>
      </c>
      <c r="I107" s="70">
        <f t="shared" si="39"/>
        <v>0</v>
      </c>
      <c r="J107" s="70">
        <f t="shared" si="39"/>
        <v>0</v>
      </c>
      <c r="K107" s="70">
        <f t="shared" si="39"/>
        <v>0</v>
      </c>
      <c r="L107" s="70">
        <f t="shared" si="39"/>
        <v>0</v>
      </c>
      <c r="M107" s="70">
        <f t="shared" si="39"/>
        <v>0</v>
      </c>
      <c r="N107" s="70">
        <f t="shared" si="39"/>
        <v>0</v>
      </c>
      <c r="O107" s="70">
        <f t="shared" si="39"/>
        <v>0</v>
      </c>
      <c r="P107" s="70">
        <f t="shared" si="39"/>
        <v>0</v>
      </c>
      <c r="Q107" s="70">
        <f t="shared" si="39"/>
        <v>0</v>
      </c>
      <c r="R107" s="70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62">
        <v>0.4</v>
      </c>
      <c r="F108" s="69"/>
      <c r="G108" s="59" t="s">
        <v>271</v>
      </c>
      <c r="H108" s="70" t="e">
        <f t="shared" ref="H108:R108" si="40">H27/H17</f>
        <v>#DIV/0!</v>
      </c>
      <c r="I108" s="70" t="e">
        <f t="shared" si="40"/>
        <v>#DIV/0!</v>
      </c>
      <c r="J108" s="70" t="e">
        <f t="shared" si="40"/>
        <v>#DIV/0!</v>
      </c>
      <c r="K108" s="70" t="e">
        <f t="shared" si="40"/>
        <v>#DIV/0!</v>
      </c>
      <c r="L108" s="70" t="e">
        <f t="shared" si="40"/>
        <v>#DIV/0!</v>
      </c>
      <c r="M108" s="70" t="e">
        <f t="shared" si="40"/>
        <v>#DIV/0!</v>
      </c>
      <c r="N108" s="70" t="e">
        <f t="shared" si="40"/>
        <v>#DIV/0!</v>
      </c>
      <c r="O108" s="70" t="e">
        <f t="shared" si="40"/>
        <v>#DIV/0!</v>
      </c>
      <c r="P108" s="70" t="e">
        <f t="shared" si="40"/>
        <v>#DIV/0!</v>
      </c>
      <c r="Q108" s="70" t="e">
        <f t="shared" si="40"/>
        <v>#DIV/0!</v>
      </c>
      <c r="R108" s="70" t="e">
        <f t="shared" si="40"/>
        <v>#DIV/0!</v>
      </c>
    </row>
    <row r="109" spans="1:18" x14ac:dyDescent="0.2">
      <c r="C109" s="16"/>
      <c r="F109" s="69"/>
      <c r="G109" s="74" t="s">
        <v>272</v>
      </c>
      <c r="H109" s="41">
        <f t="shared" ref="H109:R109" si="41">H95</f>
        <v>2011</v>
      </c>
      <c r="I109" s="41">
        <f t="shared" si="41"/>
        <v>2012</v>
      </c>
      <c r="J109" s="41">
        <f t="shared" si="41"/>
        <v>2013</v>
      </c>
      <c r="K109" s="41">
        <f t="shared" si="41"/>
        <v>2014</v>
      </c>
      <c r="L109" s="41">
        <f t="shared" si="41"/>
        <v>2015</v>
      </c>
      <c r="M109" s="41">
        <f t="shared" si="41"/>
        <v>2016</v>
      </c>
      <c r="N109" s="41">
        <f t="shared" si="41"/>
        <v>2017</v>
      </c>
      <c r="O109" s="41">
        <f t="shared" si="41"/>
        <v>2018</v>
      </c>
      <c r="P109" s="41">
        <f t="shared" si="41"/>
        <v>2019</v>
      </c>
      <c r="Q109" s="41">
        <f t="shared" si="41"/>
        <v>2020</v>
      </c>
      <c r="R109" s="41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60"/>
      <c r="F110" s="69"/>
      <c r="G110" s="18" t="s">
        <v>276</v>
      </c>
      <c r="H110" s="76">
        <f t="shared" ref="H110:R110" si="42">H10/H4</f>
        <v>0</v>
      </c>
      <c r="I110" s="76">
        <f t="shared" si="42"/>
        <v>0</v>
      </c>
      <c r="J110" s="76">
        <f t="shared" si="42"/>
        <v>0</v>
      </c>
      <c r="K110" s="76">
        <f t="shared" si="42"/>
        <v>0</v>
      </c>
      <c r="L110" s="76">
        <f t="shared" si="42"/>
        <v>0</v>
      </c>
      <c r="M110" s="76">
        <f t="shared" si="42"/>
        <v>0</v>
      </c>
      <c r="N110" s="76">
        <f t="shared" si="42"/>
        <v>0</v>
      </c>
      <c r="O110" s="76">
        <f t="shared" si="42"/>
        <v>0</v>
      </c>
      <c r="P110" s="76">
        <f t="shared" si="42"/>
        <v>0</v>
      </c>
      <c r="Q110" s="76">
        <f t="shared" si="42"/>
        <v>0</v>
      </c>
      <c r="R110" s="76">
        <f t="shared" si="42"/>
        <v>0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60"/>
      <c r="F111" s="69"/>
      <c r="G111" s="18" t="s">
        <v>280</v>
      </c>
      <c r="H111" s="76" t="e">
        <f t="shared" ref="H111:R111" si="43">-(H58)/H15</f>
        <v>#DIV/0!</v>
      </c>
      <c r="I111" s="76" t="e">
        <f t="shared" si="43"/>
        <v>#DIV/0!</v>
      </c>
      <c r="J111" s="76" t="e">
        <f t="shared" si="43"/>
        <v>#DIV/0!</v>
      </c>
      <c r="K111" s="76" t="e">
        <f t="shared" si="43"/>
        <v>#DIV/0!</v>
      </c>
      <c r="L111" s="76" t="e">
        <f t="shared" si="43"/>
        <v>#DIV/0!</v>
      </c>
      <c r="M111" s="76" t="e">
        <f t="shared" si="43"/>
        <v>#DIV/0!</v>
      </c>
      <c r="N111" s="76" t="e">
        <f t="shared" si="43"/>
        <v>#DIV/0!</v>
      </c>
      <c r="O111" s="76" t="e">
        <f t="shared" si="43"/>
        <v>#DIV/0!</v>
      </c>
      <c r="P111" s="76" t="e">
        <f t="shared" si="43"/>
        <v>#DIV/0!</v>
      </c>
      <c r="Q111" s="76" t="e">
        <f t="shared" si="43"/>
        <v>#DIV/0!</v>
      </c>
      <c r="R111" s="76" t="e">
        <f t="shared" si="43"/>
        <v>#DIV/0!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60"/>
      <c r="F112" s="69"/>
      <c r="G112" s="14" t="s">
        <v>284</v>
      </c>
      <c r="H112" s="65">
        <f t="shared" ref="H112:R112" si="44">H33/H4</f>
        <v>4.331001625893296</v>
      </c>
      <c r="I112" s="65">
        <f t="shared" si="44"/>
        <v>5.8165053442818477</v>
      </c>
      <c r="J112" s="65">
        <f t="shared" si="44"/>
        <v>6.4347404914856732</v>
      </c>
      <c r="K112" s="65">
        <f t="shared" si="44"/>
        <v>8.500961020988699</v>
      </c>
      <c r="L112" s="65">
        <f t="shared" si="44"/>
        <v>11.026164812239221</v>
      </c>
      <c r="M112" s="65">
        <f t="shared" si="44"/>
        <v>10</v>
      </c>
      <c r="N112" s="65">
        <f t="shared" si="44"/>
        <v>40.333333333333336</v>
      </c>
      <c r="O112" s="65">
        <f t="shared" si="44"/>
        <v>41.333333333333336</v>
      </c>
      <c r="P112" s="65">
        <f t="shared" si="44"/>
        <v>41.333333333333336</v>
      </c>
      <c r="Q112" s="65">
        <f t="shared" si="44"/>
        <v>41.333333333333336</v>
      </c>
      <c r="R112" s="65">
        <f t="shared" si="44"/>
        <v>41.333333333333336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60"/>
      <c r="F113" s="69"/>
      <c r="G113" s="59" t="s">
        <v>288</v>
      </c>
      <c r="H113" s="65" t="e">
        <f t="shared" ref="H113:R113" si="45">H33/H15</f>
        <v>#DIV/0!</v>
      </c>
      <c r="I113" s="65" t="e">
        <f t="shared" si="45"/>
        <v>#DIV/0!</v>
      </c>
      <c r="J113" s="65" t="e">
        <f t="shared" si="45"/>
        <v>#DIV/0!</v>
      </c>
      <c r="K113" s="65" t="e">
        <f t="shared" si="45"/>
        <v>#DIV/0!</v>
      </c>
      <c r="L113" s="65" t="e">
        <f t="shared" si="45"/>
        <v>#DIV/0!</v>
      </c>
      <c r="M113" s="65" t="e">
        <f t="shared" si="45"/>
        <v>#DIV/0!</v>
      </c>
      <c r="N113" s="65" t="e">
        <f t="shared" si="45"/>
        <v>#DIV/0!</v>
      </c>
      <c r="O113" s="65" t="e">
        <f t="shared" si="45"/>
        <v>#DIV/0!</v>
      </c>
      <c r="P113" s="65" t="e">
        <f t="shared" si="45"/>
        <v>#DIV/0!</v>
      </c>
      <c r="Q113" s="65" t="e">
        <f t="shared" si="45"/>
        <v>#DIV/0!</v>
      </c>
      <c r="R113" s="65" t="e">
        <f t="shared" si="45"/>
        <v>#DIV/0!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62">
        <v>0.5</v>
      </c>
      <c r="E114" s="62">
        <f>1/3</f>
        <v>0.33333333333333331</v>
      </c>
      <c r="F114" s="69"/>
      <c r="G114" s="18" t="s">
        <v>292</v>
      </c>
      <c r="H114" s="76">
        <f t="shared" ref="H114:R114" si="46">H27/H4</f>
        <v>0.55824857261693195</v>
      </c>
      <c r="I114" s="76">
        <f t="shared" si="46"/>
        <v>0.78948575622734996</v>
      </c>
      <c r="J114" s="76">
        <f t="shared" si="46"/>
        <v>0.80350769858264515</v>
      </c>
      <c r="K114" s="76">
        <f t="shared" si="46"/>
        <v>0.73498885215653098</v>
      </c>
      <c r="L114" s="76">
        <f t="shared" si="46"/>
        <v>0.52616481223922118</v>
      </c>
      <c r="M114" s="76">
        <f t="shared" si="46"/>
        <v>0.75</v>
      </c>
      <c r="N114" s="76">
        <f t="shared" si="46"/>
        <v>0</v>
      </c>
      <c r="O114" s="76">
        <f t="shared" si="46"/>
        <v>0</v>
      </c>
      <c r="P114" s="76">
        <f t="shared" si="46"/>
        <v>0</v>
      </c>
      <c r="Q114" s="76">
        <f t="shared" si="46"/>
        <v>0</v>
      </c>
      <c r="R114" s="76">
        <f t="shared" si="46"/>
        <v>0</v>
      </c>
    </row>
    <row r="115" spans="1:19" x14ac:dyDescent="0.2">
      <c r="A115" s="77"/>
      <c r="C115" s="77"/>
      <c r="D115" s="78"/>
      <c r="E115" s="79"/>
      <c r="F115" s="69"/>
      <c r="G115" s="11" t="s">
        <v>293</v>
      </c>
      <c r="H115" s="41">
        <f t="shared" ref="H115:R115" si="47">H109</f>
        <v>2011</v>
      </c>
      <c r="I115" s="41">
        <f t="shared" si="47"/>
        <v>2012</v>
      </c>
      <c r="J115" s="41">
        <f t="shared" si="47"/>
        <v>2013</v>
      </c>
      <c r="K115" s="41">
        <f t="shared" si="47"/>
        <v>2014</v>
      </c>
      <c r="L115" s="41">
        <f t="shared" si="47"/>
        <v>2015</v>
      </c>
      <c r="M115" s="41">
        <f t="shared" si="47"/>
        <v>2016</v>
      </c>
      <c r="N115" s="41">
        <f t="shared" si="47"/>
        <v>2017</v>
      </c>
      <c r="O115" s="41">
        <f t="shared" si="47"/>
        <v>2018</v>
      </c>
      <c r="P115" s="41">
        <f t="shared" si="47"/>
        <v>2019</v>
      </c>
      <c r="Q115" s="41">
        <f t="shared" si="47"/>
        <v>2020</v>
      </c>
      <c r="R115" s="41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62">
        <v>0.05</v>
      </c>
      <c r="G116" s="14" t="s">
        <v>297</v>
      </c>
      <c r="H116" s="64">
        <f t="shared" ref="H116:R116" si="48">H35/H33</f>
        <v>0</v>
      </c>
      <c r="I116" s="64">
        <f t="shared" si="48"/>
        <v>0</v>
      </c>
      <c r="J116" s="64">
        <f t="shared" si="48"/>
        <v>0</v>
      </c>
      <c r="K116" s="64">
        <f t="shared" si="48"/>
        <v>0</v>
      </c>
      <c r="L116" s="64">
        <f t="shared" si="48"/>
        <v>0</v>
      </c>
      <c r="M116" s="64">
        <f t="shared" si="48"/>
        <v>0</v>
      </c>
      <c r="N116" s="64">
        <f t="shared" si="48"/>
        <v>0</v>
      </c>
      <c r="O116" s="64">
        <f t="shared" si="48"/>
        <v>0</v>
      </c>
      <c r="P116" s="64">
        <f t="shared" si="48"/>
        <v>0</v>
      </c>
      <c r="Q116" s="64">
        <f t="shared" si="48"/>
        <v>0</v>
      </c>
      <c r="R116" s="64">
        <f t="shared" si="48"/>
        <v>0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62">
        <v>0.95</v>
      </c>
      <c r="G117" s="18" t="s">
        <v>301</v>
      </c>
      <c r="H117" s="76">
        <f t="shared" ref="H117:R117" si="49">(H36+H34)/H33</f>
        <v>1</v>
      </c>
      <c r="I117" s="76">
        <f t="shared" si="49"/>
        <v>1</v>
      </c>
      <c r="J117" s="76">
        <f t="shared" si="49"/>
        <v>1</v>
      </c>
      <c r="K117" s="76">
        <f t="shared" si="49"/>
        <v>1</v>
      </c>
      <c r="L117" s="76">
        <f t="shared" si="49"/>
        <v>1</v>
      </c>
      <c r="M117" s="76">
        <f t="shared" si="49"/>
        <v>1</v>
      </c>
      <c r="N117" s="76">
        <f t="shared" si="49"/>
        <v>1</v>
      </c>
      <c r="O117" s="76">
        <f t="shared" si="49"/>
        <v>1</v>
      </c>
      <c r="P117" s="76">
        <f t="shared" si="49"/>
        <v>1</v>
      </c>
      <c r="Q117" s="76">
        <f t="shared" si="49"/>
        <v>1</v>
      </c>
      <c r="R117" s="76">
        <f t="shared" si="49"/>
        <v>1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62">
        <v>0.95</v>
      </c>
      <c r="G118" s="59" t="s">
        <v>305</v>
      </c>
      <c r="H118" s="64">
        <f t="shared" ref="H118:R118" si="50">H38/(H38+H41)</f>
        <v>0</v>
      </c>
      <c r="I118" s="64">
        <f t="shared" si="50"/>
        <v>0</v>
      </c>
      <c r="J118" s="64">
        <f t="shared" si="50"/>
        <v>0</v>
      </c>
      <c r="K118" s="64">
        <f t="shared" si="50"/>
        <v>0</v>
      </c>
      <c r="L118" s="64">
        <f t="shared" si="50"/>
        <v>0</v>
      </c>
      <c r="M118" s="64">
        <f t="shared" si="50"/>
        <v>0</v>
      </c>
      <c r="N118" s="64">
        <f t="shared" si="50"/>
        <v>0</v>
      </c>
      <c r="O118" s="64">
        <f t="shared" si="50"/>
        <v>0</v>
      </c>
      <c r="P118" s="64">
        <f t="shared" si="50"/>
        <v>0</v>
      </c>
      <c r="Q118" s="64">
        <f t="shared" si="50"/>
        <v>0</v>
      </c>
      <c r="R118" s="64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11" t="s">
        <v>306</v>
      </c>
      <c r="H119" s="41">
        <f>H115</f>
        <v>2011</v>
      </c>
      <c r="I119" s="41">
        <f t="shared" ref="I119:R119" si="51">I115</f>
        <v>2012</v>
      </c>
      <c r="J119" s="41">
        <f t="shared" si="51"/>
        <v>2013</v>
      </c>
      <c r="K119" s="41">
        <f t="shared" si="51"/>
        <v>2014</v>
      </c>
      <c r="L119" s="41">
        <f t="shared" si="51"/>
        <v>2015</v>
      </c>
      <c r="M119" s="41">
        <f t="shared" si="51"/>
        <v>2016</v>
      </c>
      <c r="N119" s="41">
        <f t="shared" si="51"/>
        <v>2017</v>
      </c>
      <c r="O119" s="41">
        <f t="shared" si="51"/>
        <v>2018</v>
      </c>
      <c r="P119" s="41">
        <f t="shared" si="51"/>
        <v>2019</v>
      </c>
      <c r="Q119" s="41">
        <f t="shared" si="51"/>
        <v>2020</v>
      </c>
      <c r="R119" s="41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81">
        <v>0.5</v>
      </c>
      <c r="E120" s="82" t="s">
        <v>310</v>
      </c>
      <c r="F120" s="4"/>
      <c r="G120" s="14" t="s">
        <v>311</v>
      </c>
      <c r="H120" s="65" t="str">
        <f t="shared" ref="H120:R120" si="52">IF(H116&lt;$D$120,$E$120,H35/H4)</f>
        <v>N/A</v>
      </c>
      <c r="I120" s="65" t="str">
        <f t="shared" si="52"/>
        <v>N/A</v>
      </c>
      <c r="J120" s="65" t="str">
        <f t="shared" si="52"/>
        <v>N/A</v>
      </c>
      <c r="K120" s="65" t="str">
        <f t="shared" si="52"/>
        <v>N/A</v>
      </c>
      <c r="L120" s="65" t="str">
        <f t="shared" si="52"/>
        <v>N/A</v>
      </c>
      <c r="M120" s="65" t="str">
        <f t="shared" si="52"/>
        <v>N/A</v>
      </c>
      <c r="N120" s="65" t="str">
        <f t="shared" si="52"/>
        <v>N/A</v>
      </c>
      <c r="O120" s="65" t="str">
        <f t="shared" si="52"/>
        <v>N/A</v>
      </c>
      <c r="P120" s="65" t="str">
        <f t="shared" si="52"/>
        <v>N/A</v>
      </c>
      <c r="Q120" s="65" t="str">
        <f t="shared" si="52"/>
        <v>N/A</v>
      </c>
      <c r="R120" s="65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81">
        <v>0.5</v>
      </c>
      <c r="E121" s="82" t="s">
        <v>310</v>
      </c>
      <c r="F121" s="4"/>
      <c r="G121" s="18" t="s">
        <v>315</v>
      </c>
      <c r="H121" s="65" t="str">
        <f t="shared" ref="H121:R121" si="53">IF(H116&lt;$D$121,$E$121,H35/H15)</f>
        <v>N/A</v>
      </c>
      <c r="I121" s="65" t="str">
        <f t="shared" si="53"/>
        <v>N/A</v>
      </c>
      <c r="J121" s="65" t="str">
        <f t="shared" si="53"/>
        <v>N/A</v>
      </c>
      <c r="K121" s="65" t="str">
        <f t="shared" si="53"/>
        <v>N/A</v>
      </c>
      <c r="L121" s="65" t="str">
        <f t="shared" si="53"/>
        <v>N/A</v>
      </c>
      <c r="M121" s="65" t="str">
        <f t="shared" si="53"/>
        <v>N/A</v>
      </c>
      <c r="N121" s="65" t="str">
        <f t="shared" si="53"/>
        <v>N/A</v>
      </c>
      <c r="O121" s="65" t="str">
        <f t="shared" si="53"/>
        <v>N/A</v>
      </c>
      <c r="P121" s="65" t="str">
        <f t="shared" si="53"/>
        <v>N/A</v>
      </c>
      <c r="Q121" s="65" t="str">
        <f t="shared" si="53"/>
        <v>N/A</v>
      </c>
      <c r="R121" s="65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81">
        <v>0.5</v>
      </c>
      <c r="E122" s="82" t="s">
        <v>310</v>
      </c>
      <c r="F122" s="4"/>
      <c r="G122" s="14" t="s">
        <v>318</v>
      </c>
      <c r="H122" s="76" t="str">
        <f t="shared" ref="H122:R122" si="54">IF(H116&lt;$D$122,$E$122,H46/H33)</f>
        <v>N/A</v>
      </c>
      <c r="I122" s="76" t="str">
        <f t="shared" si="54"/>
        <v>N/A</v>
      </c>
      <c r="J122" s="76" t="str">
        <f t="shared" si="54"/>
        <v>N/A</v>
      </c>
      <c r="K122" s="76" t="str">
        <f t="shared" si="54"/>
        <v>N/A</v>
      </c>
      <c r="L122" s="76" t="str">
        <f t="shared" si="54"/>
        <v>N/A</v>
      </c>
      <c r="M122" s="76" t="str">
        <f t="shared" si="54"/>
        <v>N/A</v>
      </c>
      <c r="N122" s="76" t="str">
        <f t="shared" si="54"/>
        <v>N/A</v>
      </c>
      <c r="O122" s="76" t="str">
        <f t="shared" si="54"/>
        <v>N/A</v>
      </c>
      <c r="P122" s="76" t="str">
        <f t="shared" si="54"/>
        <v>N/A</v>
      </c>
      <c r="Q122" s="76" t="str">
        <f t="shared" si="54"/>
        <v>N/A</v>
      </c>
      <c r="R122" s="76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81">
        <v>0.5</v>
      </c>
      <c r="E123" s="82" t="s">
        <v>310</v>
      </c>
      <c r="F123" s="4"/>
      <c r="G123" s="18" t="s">
        <v>322</v>
      </c>
      <c r="H123" s="76" t="str">
        <f t="shared" ref="H123:R123" si="55">IF(H116&lt;$D$122,$E$123,H51/H33)</f>
        <v>N/A</v>
      </c>
      <c r="I123" s="76" t="str">
        <f t="shared" si="55"/>
        <v>N/A</v>
      </c>
      <c r="J123" s="76" t="str">
        <f t="shared" si="55"/>
        <v>N/A</v>
      </c>
      <c r="K123" s="76" t="str">
        <f t="shared" si="55"/>
        <v>N/A</v>
      </c>
      <c r="L123" s="76" t="str">
        <f t="shared" si="55"/>
        <v>N/A</v>
      </c>
      <c r="M123" s="76" t="str">
        <f t="shared" si="55"/>
        <v>N/A</v>
      </c>
      <c r="N123" s="76" t="str">
        <f t="shared" si="55"/>
        <v>N/A</v>
      </c>
      <c r="O123" s="76" t="str">
        <f t="shared" si="55"/>
        <v>N/A</v>
      </c>
      <c r="P123" s="76" t="str">
        <f t="shared" si="55"/>
        <v>N/A</v>
      </c>
      <c r="Q123" s="76" t="str">
        <f t="shared" si="55"/>
        <v>N/A</v>
      </c>
      <c r="R123" s="76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81">
        <v>0.5</v>
      </c>
      <c r="E124" s="82" t="s">
        <v>310</v>
      </c>
      <c r="F124" s="4"/>
      <c r="G124" s="18" t="s">
        <v>326</v>
      </c>
      <c r="H124" s="76" t="str">
        <f t="shared" ref="H124:R124" si="56">IF(H116&lt;$D$124,$E$124,H51/H4)</f>
        <v>N/A</v>
      </c>
      <c r="I124" s="76" t="str">
        <f t="shared" si="56"/>
        <v>N/A</v>
      </c>
      <c r="J124" s="76" t="str">
        <f t="shared" si="56"/>
        <v>N/A</v>
      </c>
      <c r="K124" s="76" t="str">
        <f t="shared" si="56"/>
        <v>N/A</v>
      </c>
      <c r="L124" s="76" t="str">
        <f t="shared" si="56"/>
        <v>N/A</v>
      </c>
      <c r="M124" s="76" t="str">
        <f t="shared" si="56"/>
        <v>N/A</v>
      </c>
      <c r="N124" s="76" t="str">
        <f t="shared" si="56"/>
        <v>N/A</v>
      </c>
      <c r="O124" s="76" t="str">
        <f t="shared" si="56"/>
        <v>N/A</v>
      </c>
      <c r="P124" s="76" t="str">
        <f t="shared" si="56"/>
        <v>N/A</v>
      </c>
      <c r="Q124" s="76" t="str">
        <f t="shared" si="56"/>
        <v>N/A</v>
      </c>
      <c r="R124" s="76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81">
        <v>0.5</v>
      </c>
      <c r="E125" s="82" t="s">
        <v>310</v>
      </c>
      <c r="F125" s="4"/>
      <c r="G125" s="59" t="s">
        <v>330</v>
      </c>
      <c r="H125" s="76" t="str">
        <f t="shared" ref="H125:R125" si="57">IF(H116&lt;$D$125,$E$125,H51/H27)</f>
        <v>N/A</v>
      </c>
      <c r="I125" s="76" t="str">
        <f t="shared" si="57"/>
        <v>N/A</v>
      </c>
      <c r="J125" s="76" t="str">
        <f t="shared" si="57"/>
        <v>N/A</v>
      </c>
      <c r="K125" s="76" t="str">
        <f t="shared" si="57"/>
        <v>N/A</v>
      </c>
      <c r="L125" s="76" t="str">
        <f t="shared" si="57"/>
        <v>N/A</v>
      </c>
      <c r="M125" s="76" t="str">
        <f t="shared" si="57"/>
        <v>N/A</v>
      </c>
      <c r="N125" s="76" t="str">
        <f t="shared" si="57"/>
        <v>N/A</v>
      </c>
      <c r="O125" s="76" t="str">
        <f t="shared" si="57"/>
        <v>N/A</v>
      </c>
      <c r="P125" s="76" t="str">
        <f t="shared" si="57"/>
        <v>N/A</v>
      </c>
      <c r="Q125" s="76" t="str">
        <f t="shared" si="57"/>
        <v>N/A</v>
      </c>
      <c r="R125" s="76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41">
        <f>H119</f>
        <v>2011</v>
      </c>
      <c r="I127" s="41">
        <f t="shared" ref="I127:R127" si="58">I119</f>
        <v>2012</v>
      </c>
      <c r="J127" s="41">
        <f t="shared" si="58"/>
        <v>2013</v>
      </c>
      <c r="K127" s="41">
        <f t="shared" si="58"/>
        <v>2014</v>
      </c>
      <c r="L127" s="41">
        <f t="shared" si="58"/>
        <v>2015</v>
      </c>
      <c r="M127" s="41">
        <f t="shared" si="58"/>
        <v>2016</v>
      </c>
      <c r="N127" s="41">
        <f t="shared" si="58"/>
        <v>2017</v>
      </c>
      <c r="O127" s="41">
        <f t="shared" si="58"/>
        <v>2018</v>
      </c>
      <c r="P127" s="41">
        <f t="shared" si="58"/>
        <v>2019</v>
      </c>
      <c r="Q127" s="41">
        <f t="shared" si="58"/>
        <v>2020</v>
      </c>
      <c r="R127" s="41">
        <f t="shared" si="58"/>
        <v>2021</v>
      </c>
    </row>
    <row r="128" spans="1:19" x14ac:dyDescent="0.2">
      <c r="G128" s="83" t="s">
        <v>331</v>
      </c>
      <c r="H128" s="84">
        <f t="shared" ref="H128:R128" si="59">H33</f>
        <v>114.542</v>
      </c>
      <c r="I128" s="84">
        <f t="shared" si="59"/>
        <v>126.794</v>
      </c>
      <c r="J128" s="84">
        <f t="shared" si="59"/>
        <v>126.211</v>
      </c>
      <c r="K128" s="84">
        <f t="shared" si="59"/>
        <v>110.572</v>
      </c>
      <c r="L128" s="84">
        <f t="shared" si="59"/>
        <v>126.845</v>
      </c>
      <c r="M128" s="84">
        <f t="shared" si="59"/>
        <v>120</v>
      </c>
      <c r="N128" s="84">
        <f t="shared" si="59"/>
        <v>121</v>
      </c>
      <c r="O128" s="84">
        <f t="shared" si="59"/>
        <v>124</v>
      </c>
      <c r="P128" s="84">
        <f t="shared" si="59"/>
        <v>124</v>
      </c>
      <c r="Q128" s="84">
        <f t="shared" si="59"/>
        <v>124</v>
      </c>
      <c r="R128" s="84">
        <f t="shared" si="59"/>
        <v>124</v>
      </c>
    </row>
    <row r="129" spans="3:19" x14ac:dyDescent="0.2">
      <c r="G129" s="83" t="s">
        <v>332</v>
      </c>
      <c r="H129" s="84">
        <f t="shared" ref="H129:R130" si="60">H35</f>
        <v>0</v>
      </c>
      <c r="I129" s="84">
        <f t="shared" si="60"/>
        <v>0</v>
      </c>
      <c r="J129" s="84">
        <f t="shared" si="60"/>
        <v>0</v>
      </c>
      <c r="K129" s="84">
        <f t="shared" si="60"/>
        <v>0</v>
      </c>
      <c r="L129" s="84">
        <f t="shared" si="60"/>
        <v>0</v>
      </c>
      <c r="M129" s="84">
        <f t="shared" si="60"/>
        <v>0</v>
      </c>
      <c r="N129" s="84">
        <f t="shared" si="60"/>
        <v>0</v>
      </c>
      <c r="O129" s="84">
        <f t="shared" si="60"/>
        <v>0</v>
      </c>
      <c r="P129" s="84">
        <f t="shared" si="60"/>
        <v>0</v>
      </c>
      <c r="Q129" s="84">
        <f t="shared" si="60"/>
        <v>0</v>
      </c>
      <c r="R129" s="84">
        <f t="shared" si="60"/>
        <v>0</v>
      </c>
    </row>
    <row r="130" spans="3:19" x14ac:dyDescent="0.2">
      <c r="G130" s="83" t="s">
        <v>333</v>
      </c>
      <c r="H130" s="84">
        <f t="shared" si="60"/>
        <v>114.542</v>
      </c>
      <c r="I130" s="84">
        <f t="shared" si="60"/>
        <v>126.794</v>
      </c>
      <c r="J130" s="84">
        <f t="shared" si="60"/>
        <v>126.211</v>
      </c>
      <c r="K130" s="84">
        <f t="shared" si="60"/>
        <v>110.572</v>
      </c>
      <c r="L130" s="84">
        <f t="shared" si="60"/>
        <v>126.845</v>
      </c>
      <c r="M130" s="84">
        <f t="shared" si="60"/>
        <v>120</v>
      </c>
      <c r="N130" s="84">
        <f t="shared" si="60"/>
        <v>121</v>
      </c>
      <c r="O130" s="84">
        <f t="shared" si="60"/>
        <v>124</v>
      </c>
      <c r="P130" s="84">
        <f t="shared" si="60"/>
        <v>124</v>
      </c>
      <c r="Q130" s="84">
        <f t="shared" si="60"/>
        <v>124</v>
      </c>
      <c r="R130" s="84">
        <f t="shared" si="60"/>
        <v>124</v>
      </c>
    </row>
    <row r="131" spans="3:19" x14ac:dyDescent="0.2">
      <c r="G131" s="83" t="s">
        <v>334</v>
      </c>
      <c r="H131" s="84">
        <f t="shared" ref="H131:R131" si="61">H38+H41</f>
        <v>-103.88500000000001</v>
      </c>
      <c r="I131" s="84">
        <f t="shared" si="61"/>
        <v>-124.404</v>
      </c>
      <c r="J131" s="84">
        <f t="shared" si="61"/>
        <v>-127.661</v>
      </c>
      <c r="K131" s="84">
        <f t="shared" si="61"/>
        <v>-116.771</v>
      </c>
      <c r="L131" s="84">
        <f t="shared" si="61"/>
        <v>-130.41900000000001</v>
      </c>
      <c r="M131" s="84">
        <f t="shared" si="61"/>
        <v>-117</v>
      </c>
      <c r="N131" s="84">
        <f t="shared" si="61"/>
        <v>-130</v>
      </c>
      <c r="O131" s="84">
        <f t="shared" si="61"/>
        <v>-124</v>
      </c>
      <c r="P131" s="84">
        <f t="shared" si="61"/>
        <v>-124</v>
      </c>
      <c r="Q131" s="84">
        <f t="shared" si="61"/>
        <v>-124</v>
      </c>
      <c r="R131" s="84">
        <f t="shared" si="61"/>
        <v>-124</v>
      </c>
    </row>
    <row r="132" spans="3:19" x14ac:dyDescent="0.2">
      <c r="G132" s="83" t="s">
        <v>335</v>
      </c>
      <c r="H132" s="84">
        <f t="shared" ref="H132:R132" si="62">H41</f>
        <v>-103.88500000000001</v>
      </c>
      <c r="I132" s="84">
        <f t="shared" si="62"/>
        <v>-124.404</v>
      </c>
      <c r="J132" s="84">
        <f t="shared" si="62"/>
        <v>-127.661</v>
      </c>
      <c r="K132" s="84">
        <f t="shared" si="62"/>
        <v>-116.771</v>
      </c>
      <c r="L132" s="84">
        <f t="shared" si="62"/>
        <v>-130.41900000000001</v>
      </c>
      <c r="M132" s="84">
        <f t="shared" si="62"/>
        <v>-117</v>
      </c>
      <c r="N132" s="84">
        <f t="shared" si="62"/>
        <v>-130</v>
      </c>
      <c r="O132" s="84">
        <f t="shared" si="62"/>
        <v>-124</v>
      </c>
      <c r="P132" s="84">
        <f t="shared" si="62"/>
        <v>-124</v>
      </c>
      <c r="Q132" s="84">
        <f t="shared" si="62"/>
        <v>-124</v>
      </c>
      <c r="R132" s="84">
        <f t="shared" si="62"/>
        <v>-124</v>
      </c>
    </row>
    <row r="133" spans="3:19" x14ac:dyDescent="0.2">
      <c r="G133" s="83" t="s">
        <v>336</v>
      </c>
      <c r="H133" s="84">
        <f t="shared" ref="H133:R133" si="63">H38</f>
        <v>0</v>
      </c>
      <c r="I133" s="84">
        <f t="shared" si="63"/>
        <v>0</v>
      </c>
      <c r="J133" s="84">
        <f t="shared" si="63"/>
        <v>0</v>
      </c>
      <c r="K133" s="84">
        <f t="shared" si="63"/>
        <v>0</v>
      </c>
      <c r="L133" s="84">
        <f t="shared" si="63"/>
        <v>0</v>
      </c>
      <c r="M133" s="84">
        <f t="shared" si="63"/>
        <v>0</v>
      </c>
      <c r="N133" s="84">
        <f t="shared" si="63"/>
        <v>0</v>
      </c>
      <c r="O133" s="84">
        <f t="shared" si="63"/>
        <v>0</v>
      </c>
      <c r="P133" s="84">
        <f t="shared" si="63"/>
        <v>0</v>
      </c>
      <c r="Q133" s="84">
        <f t="shared" si="63"/>
        <v>0</v>
      </c>
      <c r="R133" s="84">
        <f t="shared" si="63"/>
        <v>0</v>
      </c>
    </row>
    <row r="134" spans="3:19" x14ac:dyDescent="0.2">
      <c r="G134" s="83" t="s">
        <v>337</v>
      </c>
      <c r="H134" s="84">
        <f t="shared" ref="H134:R134" si="64">H46</f>
        <v>10.656999999999996</v>
      </c>
      <c r="I134" s="84">
        <f t="shared" si="64"/>
        <v>2.3900000000000006</v>
      </c>
      <c r="J134" s="84">
        <f t="shared" si="64"/>
        <v>-1.4500000000000028</v>
      </c>
      <c r="K134" s="84">
        <f t="shared" si="64"/>
        <v>-6.1989999999999981</v>
      </c>
      <c r="L134" s="84">
        <f t="shared" si="64"/>
        <v>-3.5740000000000123</v>
      </c>
      <c r="M134" s="84">
        <f t="shared" si="64"/>
        <v>3</v>
      </c>
      <c r="N134" s="84">
        <f t="shared" si="64"/>
        <v>-9</v>
      </c>
      <c r="O134" s="84">
        <f t="shared" si="64"/>
        <v>0</v>
      </c>
      <c r="P134" s="84">
        <f t="shared" si="64"/>
        <v>0</v>
      </c>
      <c r="Q134" s="84">
        <f t="shared" si="64"/>
        <v>0</v>
      </c>
      <c r="R134" s="84">
        <f t="shared" si="64"/>
        <v>0</v>
      </c>
    </row>
    <row r="135" spans="3:19" x14ac:dyDescent="0.2">
      <c r="G135" s="83" t="s">
        <v>338</v>
      </c>
      <c r="H135" s="84">
        <f t="shared" ref="H135:R135" si="65">H51</f>
        <v>10.721999999999996</v>
      </c>
      <c r="I135" s="84">
        <f t="shared" si="65"/>
        <v>2.5810000000000004</v>
      </c>
      <c r="J135" s="84">
        <f t="shared" si="65"/>
        <v>-1.4500000000000028</v>
      </c>
      <c r="K135" s="84">
        <f t="shared" si="65"/>
        <v>-6.1989999999999981</v>
      </c>
      <c r="L135" s="84">
        <f t="shared" si="65"/>
        <v>-3.5080000000000124</v>
      </c>
      <c r="M135" s="84">
        <f t="shared" si="65"/>
        <v>3</v>
      </c>
      <c r="N135" s="84">
        <f t="shared" si="65"/>
        <v>-9</v>
      </c>
      <c r="O135" s="84">
        <f t="shared" si="65"/>
        <v>0</v>
      </c>
      <c r="P135" s="84">
        <f t="shared" si="65"/>
        <v>0</v>
      </c>
      <c r="Q135" s="84">
        <f t="shared" si="65"/>
        <v>0</v>
      </c>
      <c r="R135" s="84">
        <f t="shared" si="65"/>
        <v>0</v>
      </c>
    </row>
    <row r="136" spans="3:19" x14ac:dyDescent="0.2">
      <c r="G136" s="83" t="s">
        <v>339</v>
      </c>
      <c r="H136" s="84">
        <f t="shared" ref="H136:R137" si="66">H4</f>
        <v>26.447000000000003</v>
      </c>
      <c r="I136" s="84">
        <f t="shared" si="66"/>
        <v>21.798999999999999</v>
      </c>
      <c r="J136" s="84">
        <f t="shared" si="66"/>
        <v>19.614000000000001</v>
      </c>
      <c r="K136" s="84">
        <f t="shared" si="66"/>
        <v>13.007</v>
      </c>
      <c r="L136" s="84">
        <f t="shared" si="66"/>
        <v>11.504</v>
      </c>
      <c r="M136" s="84">
        <f t="shared" si="66"/>
        <v>12</v>
      </c>
      <c r="N136" s="84">
        <f t="shared" si="66"/>
        <v>3</v>
      </c>
      <c r="O136" s="84">
        <f t="shared" si="66"/>
        <v>3</v>
      </c>
      <c r="P136" s="84">
        <f t="shared" si="66"/>
        <v>3</v>
      </c>
      <c r="Q136" s="84">
        <f t="shared" si="66"/>
        <v>3</v>
      </c>
      <c r="R136" s="84">
        <f t="shared" si="66"/>
        <v>3</v>
      </c>
    </row>
    <row r="137" spans="3:19" x14ac:dyDescent="0.2">
      <c r="G137" s="83" t="s">
        <v>340</v>
      </c>
      <c r="H137" s="84">
        <f t="shared" si="66"/>
        <v>26.447000000000003</v>
      </c>
      <c r="I137" s="84">
        <f t="shared" si="66"/>
        <v>21.798999999999999</v>
      </c>
      <c r="J137" s="84">
        <f t="shared" si="66"/>
        <v>19.614000000000001</v>
      </c>
      <c r="K137" s="84">
        <f t="shared" si="66"/>
        <v>13.007</v>
      </c>
      <c r="L137" s="84">
        <f t="shared" si="66"/>
        <v>11.504</v>
      </c>
      <c r="M137" s="84">
        <f t="shared" si="66"/>
        <v>12</v>
      </c>
      <c r="N137" s="84">
        <f t="shared" si="66"/>
        <v>3</v>
      </c>
      <c r="O137" s="84">
        <f t="shared" si="66"/>
        <v>3</v>
      </c>
      <c r="P137" s="84">
        <f t="shared" si="66"/>
        <v>3</v>
      </c>
      <c r="Q137" s="84">
        <f t="shared" si="66"/>
        <v>3</v>
      </c>
      <c r="R137" s="84">
        <f t="shared" si="66"/>
        <v>3</v>
      </c>
    </row>
    <row r="138" spans="3:19" x14ac:dyDescent="0.2">
      <c r="G138" s="83" t="s">
        <v>341</v>
      </c>
      <c r="H138" s="84">
        <f t="shared" ref="H138:R138" si="67">H10</f>
        <v>0</v>
      </c>
      <c r="I138" s="84">
        <f t="shared" si="67"/>
        <v>0</v>
      </c>
      <c r="J138" s="84">
        <f t="shared" si="67"/>
        <v>0</v>
      </c>
      <c r="K138" s="84">
        <f t="shared" si="67"/>
        <v>0</v>
      </c>
      <c r="L138" s="84">
        <f t="shared" si="67"/>
        <v>0</v>
      </c>
      <c r="M138" s="84">
        <f t="shared" si="67"/>
        <v>0</v>
      </c>
      <c r="N138" s="84">
        <f t="shared" si="67"/>
        <v>0</v>
      </c>
      <c r="O138" s="84">
        <f t="shared" si="67"/>
        <v>0</v>
      </c>
      <c r="P138" s="84">
        <f t="shared" si="67"/>
        <v>0</v>
      </c>
      <c r="Q138" s="84">
        <f t="shared" si="67"/>
        <v>0</v>
      </c>
      <c r="R138" s="84">
        <f t="shared" si="67"/>
        <v>0</v>
      </c>
    </row>
    <row r="139" spans="3:19" x14ac:dyDescent="0.2">
      <c r="G139" s="83" t="s">
        <v>342</v>
      </c>
      <c r="H139" s="84">
        <f t="shared" ref="H139:R140" si="68">H19</f>
        <v>11.683</v>
      </c>
      <c r="I139" s="84">
        <f t="shared" si="68"/>
        <v>4.5880000000000001</v>
      </c>
      <c r="J139" s="84">
        <f t="shared" si="68"/>
        <v>3.8530000000000002</v>
      </c>
      <c r="K139" s="84">
        <f t="shared" si="68"/>
        <v>3.4470000000000001</v>
      </c>
      <c r="L139" s="84">
        <f t="shared" si="68"/>
        <v>5.4509999999999996</v>
      </c>
      <c r="M139" s="84">
        <f t="shared" si="68"/>
        <v>3</v>
      </c>
      <c r="N139" s="84">
        <f t="shared" si="68"/>
        <v>3</v>
      </c>
      <c r="O139" s="84">
        <f t="shared" si="68"/>
        <v>3</v>
      </c>
      <c r="P139" s="84">
        <f t="shared" si="68"/>
        <v>3</v>
      </c>
      <c r="Q139" s="84">
        <f t="shared" si="68"/>
        <v>3</v>
      </c>
      <c r="R139" s="84">
        <f t="shared" si="68"/>
        <v>3</v>
      </c>
    </row>
    <row r="140" spans="3:19" x14ac:dyDescent="0.2">
      <c r="G140" s="83" t="s">
        <v>343</v>
      </c>
      <c r="H140" s="84">
        <f t="shared" si="68"/>
        <v>11.683</v>
      </c>
      <c r="I140" s="84">
        <f t="shared" si="68"/>
        <v>4.5880000000000001</v>
      </c>
      <c r="J140" s="84">
        <f t="shared" si="68"/>
        <v>3.8530000000000002</v>
      </c>
      <c r="K140" s="84">
        <f t="shared" si="68"/>
        <v>3.4470000000000001</v>
      </c>
      <c r="L140" s="84">
        <f t="shared" si="68"/>
        <v>5.4509999999999996</v>
      </c>
      <c r="M140" s="84">
        <f t="shared" si="68"/>
        <v>3</v>
      </c>
      <c r="N140" s="84">
        <f t="shared" si="68"/>
        <v>3</v>
      </c>
      <c r="O140" s="84">
        <f t="shared" si="68"/>
        <v>0</v>
      </c>
      <c r="P140" s="84">
        <f t="shared" si="68"/>
        <v>0</v>
      </c>
      <c r="Q140" s="84">
        <f t="shared" si="68"/>
        <v>0</v>
      </c>
      <c r="R140" s="84">
        <f t="shared" si="68"/>
        <v>0</v>
      </c>
    </row>
    <row r="141" spans="3:19" x14ac:dyDescent="0.2">
      <c r="G141" s="83" t="s">
        <v>344</v>
      </c>
      <c r="H141" s="84">
        <f t="shared" ref="H141:R141" si="69">H24</f>
        <v>0</v>
      </c>
      <c r="I141" s="84">
        <f t="shared" si="69"/>
        <v>0</v>
      </c>
      <c r="J141" s="84">
        <f t="shared" si="69"/>
        <v>0</v>
      </c>
      <c r="K141" s="84">
        <f t="shared" si="69"/>
        <v>0</v>
      </c>
      <c r="L141" s="84">
        <f t="shared" si="69"/>
        <v>0</v>
      </c>
      <c r="M141" s="84">
        <f t="shared" si="69"/>
        <v>0</v>
      </c>
      <c r="N141" s="84">
        <f t="shared" si="69"/>
        <v>0</v>
      </c>
      <c r="O141" s="84">
        <f t="shared" si="69"/>
        <v>0</v>
      </c>
      <c r="P141" s="84">
        <f t="shared" si="69"/>
        <v>0</v>
      </c>
      <c r="Q141" s="84">
        <f t="shared" si="69"/>
        <v>0</v>
      </c>
      <c r="R141" s="84">
        <f t="shared" si="69"/>
        <v>0</v>
      </c>
    </row>
    <row r="142" spans="3:19" x14ac:dyDescent="0.2">
      <c r="G142" s="83" t="s">
        <v>345</v>
      </c>
      <c r="H142" s="84">
        <f t="shared" ref="H142:R142" si="70">H27</f>
        <v>14.763999999999999</v>
      </c>
      <c r="I142" s="84">
        <f t="shared" si="70"/>
        <v>17.21</v>
      </c>
      <c r="J142" s="84">
        <f t="shared" si="70"/>
        <v>15.760000000000002</v>
      </c>
      <c r="K142" s="84">
        <f t="shared" si="70"/>
        <v>9.5599999999999987</v>
      </c>
      <c r="L142" s="84">
        <f t="shared" si="70"/>
        <v>6.0530000000000008</v>
      </c>
      <c r="M142" s="84">
        <f t="shared" si="70"/>
        <v>9</v>
      </c>
      <c r="N142" s="84">
        <f t="shared" si="70"/>
        <v>0</v>
      </c>
      <c r="O142" s="84">
        <f t="shared" si="70"/>
        <v>0</v>
      </c>
      <c r="P142" s="84">
        <f t="shared" si="70"/>
        <v>0</v>
      </c>
      <c r="Q142" s="84">
        <f t="shared" si="70"/>
        <v>0</v>
      </c>
      <c r="R142" s="84">
        <f t="shared" si="70"/>
        <v>0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231" priority="51" stopIfTrue="1" operator="greaterThan">
      <formula>$E$116</formula>
    </cfRule>
    <cfRule type="cellIs" dxfId="230" priority="52" stopIfTrue="1" operator="lessThanOrEqual">
      <formula>$E$116</formula>
    </cfRule>
  </conditionalFormatting>
  <conditionalFormatting sqref="H118:Q118">
    <cfRule type="cellIs" dxfId="229" priority="49" stopIfTrue="1" operator="lessThanOrEqual">
      <formula>$E$118</formula>
    </cfRule>
    <cfRule type="cellIs" dxfId="228" priority="50" stopIfTrue="1" operator="greaterThan">
      <formula>$E$118</formula>
    </cfRule>
  </conditionalFormatting>
  <conditionalFormatting sqref="H99:Q99">
    <cfRule type="cellIs" dxfId="227" priority="47" operator="greaterThan">
      <formula>$E$99</formula>
    </cfRule>
    <cfRule type="cellIs" dxfId="226" priority="48" operator="lessThanOrEqual">
      <formula>$E$99</formula>
    </cfRule>
  </conditionalFormatting>
  <conditionalFormatting sqref="H102:Q102">
    <cfRule type="cellIs" dxfId="225" priority="45" stopIfTrue="1" operator="greaterThanOrEqual">
      <formula>$E$102</formula>
    </cfRule>
    <cfRule type="cellIs" dxfId="224" priority="46" stopIfTrue="1" operator="lessThan">
      <formula>$E$102</formula>
    </cfRule>
  </conditionalFormatting>
  <conditionalFormatting sqref="H104:Q104">
    <cfRule type="cellIs" dxfId="223" priority="43" stopIfTrue="1" operator="lessThan">
      <formula>$E$104</formula>
    </cfRule>
    <cfRule type="cellIs" dxfId="222" priority="44" stopIfTrue="1" operator="greaterThanOrEqual">
      <formula>$E$104</formula>
    </cfRule>
  </conditionalFormatting>
  <conditionalFormatting sqref="H103:Q103">
    <cfRule type="cellIs" dxfId="221" priority="41" stopIfTrue="1" operator="greaterThan">
      <formula>$E$103</formula>
    </cfRule>
    <cfRule type="cellIs" dxfId="220" priority="42" stopIfTrue="1" operator="lessThanOrEqual">
      <formula>$E$103</formula>
    </cfRule>
  </conditionalFormatting>
  <conditionalFormatting sqref="H100:Q100">
    <cfRule type="cellIs" dxfId="219" priority="30" stopIfTrue="1" operator="between">
      <formula>$D$100</formula>
      <formula>$E$100</formula>
    </cfRule>
    <cfRule type="cellIs" dxfId="218" priority="39" stopIfTrue="1" operator="lessThanOrEqual">
      <formula>$D$100</formula>
    </cfRule>
    <cfRule type="cellIs" dxfId="217" priority="40" stopIfTrue="1" operator="greaterThan">
      <formula>$E$100</formula>
    </cfRule>
  </conditionalFormatting>
  <conditionalFormatting sqref="H117:Q117">
    <cfRule type="cellIs" dxfId="216" priority="37" stopIfTrue="1" operator="greaterThan">
      <formula>$E$117</formula>
    </cfRule>
    <cfRule type="cellIs" dxfId="215" priority="38" stopIfTrue="1" operator="lessThanOrEqual">
      <formula>$E$117</formula>
    </cfRule>
  </conditionalFormatting>
  <conditionalFormatting sqref="H107:Q107">
    <cfRule type="cellIs" dxfId="214" priority="35" stopIfTrue="1" operator="greaterThan">
      <formula>$E$107</formula>
    </cfRule>
    <cfRule type="cellIs" dxfId="213" priority="36" stopIfTrue="1" operator="lessThanOrEqual">
      <formula>$E$107</formula>
    </cfRule>
  </conditionalFormatting>
  <conditionalFormatting sqref="H108:Q108">
    <cfRule type="cellIs" dxfId="212" priority="33" stopIfTrue="1" operator="lessThan">
      <formula>$E$108</formula>
    </cfRule>
    <cfRule type="cellIs" dxfId="211" priority="34" stopIfTrue="1" operator="greaterThanOrEqual">
      <formula>$E$108</formula>
    </cfRule>
  </conditionalFormatting>
  <conditionalFormatting sqref="H93:Q93">
    <cfRule type="cellIs" dxfId="210" priority="53" stopIfTrue="1" operator="lessThan">
      <formula>$D$93</formula>
    </cfRule>
    <cfRule type="cellIs" dxfId="209" priority="54" stopIfTrue="1" operator="between">
      <formula>$D$93</formula>
      <formula>$E$93</formula>
    </cfRule>
    <cfRule type="cellIs" dxfId="208" priority="55" stopIfTrue="1" operator="greaterThan">
      <formula>$E$93</formula>
    </cfRule>
  </conditionalFormatting>
  <conditionalFormatting sqref="H114:Q114">
    <cfRule type="cellIs" dxfId="207" priority="56" stopIfTrue="1" operator="lessThan">
      <formula>$E$114</formula>
    </cfRule>
    <cfRule type="cellIs" dxfId="206" priority="57" stopIfTrue="1" operator="between">
      <formula>$D$114</formula>
      <formula>$E$114</formula>
    </cfRule>
    <cfRule type="cellIs" dxfId="205" priority="58" stopIfTrue="1" operator="greaterThanOrEqual">
      <formula>$D$114</formula>
    </cfRule>
  </conditionalFormatting>
  <conditionalFormatting sqref="H90:Q90">
    <cfRule type="cellIs" dxfId="204" priority="31" stopIfTrue="1" operator="lessThan">
      <formula>$E$90</formula>
    </cfRule>
    <cfRule type="cellIs" dxfId="203" priority="32" stopIfTrue="1" operator="greaterThan">
      <formula>$E$90</formula>
    </cfRule>
  </conditionalFormatting>
  <conditionalFormatting sqref="R116">
    <cfRule type="cellIs" dxfId="202" priority="22" stopIfTrue="1" operator="greaterThan">
      <formula>$E$116</formula>
    </cfRule>
    <cfRule type="cellIs" dxfId="201" priority="23" stopIfTrue="1" operator="lessThanOrEqual">
      <formula>$E$116</formula>
    </cfRule>
  </conditionalFormatting>
  <conditionalFormatting sqref="R118">
    <cfRule type="cellIs" dxfId="200" priority="20" stopIfTrue="1" operator="lessThanOrEqual">
      <formula>$E$118</formula>
    </cfRule>
    <cfRule type="cellIs" dxfId="199" priority="21" stopIfTrue="1" operator="greaterThan">
      <formula>$E$118</formula>
    </cfRule>
  </conditionalFormatting>
  <conditionalFormatting sqref="R99">
    <cfRule type="cellIs" dxfId="198" priority="18" operator="greaterThan">
      <formula>$E$99</formula>
    </cfRule>
    <cfRule type="cellIs" dxfId="197" priority="19" operator="lessThanOrEqual">
      <formula>$E$99</formula>
    </cfRule>
  </conditionalFormatting>
  <conditionalFormatting sqref="R102">
    <cfRule type="cellIs" dxfId="196" priority="16" stopIfTrue="1" operator="greaterThanOrEqual">
      <formula>$E$102</formula>
    </cfRule>
    <cfRule type="cellIs" dxfId="195" priority="17" stopIfTrue="1" operator="lessThan">
      <formula>$E$102</formula>
    </cfRule>
  </conditionalFormatting>
  <conditionalFormatting sqref="R104">
    <cfRule type="cellIs" dxfId="194" priority="14" stopIfTrue="1" operator="lessThan">
      <formula>$E$104</formula>
    </cfRule>
    <cfRule type="cellIs" dxfId="193" priority="15" stopIfTrue="1" operator="greaterThanOrEqual">
      <formula>$E$104</formula>
    </cfRule>
  </conditionalFormatting>
  <conditionalFormatting sqref="R103">
    <cfRule type="cellIs" dxfId="192" priority="12" stopIfTrue="1" operator="greaterThan">
      <formula>$E$103</formula>
    </cfRule>
    <cfRule type="cellIs" dxfId="191" priority="13" stopIfTrue="1" operator="lessThanOrEqual">
      <formula>$E$103</formula>
    </cfRule>
  </conditionalFormatting>
  <conditionalFormatting sqref="R100">
    <cfRule type="cellIs" dxfId="190" priority="1" stopIfTrue="1" operator="between">
      <formula>$D$100</formula>
      <formula>$E$100</formula>
    </cfRule>
    <cfRule type="cellIs" dxfId="189" priority="10" stopIfTrue="1" operator="lessThanOrEqual">
      <formula>$D$100</formula>
    </cfRule>
    <cfRule type="cellIs" dxfId="188" priority="11" stopIfTrue="1" operator="greaterThan">
      <formula>$E$100</formula>
    </cfRule>
  </conditionalFormatting>
  <conditionalFormatting sqref="R117">
    <cfRule type="cellIs" dxfId="187" priority="8" stopIfTrue="1" operator="greaterThan">
      <formula>$E$117</formula>
    </cfRule>
    <cfRule type="cellIs" dxfId="186" priority="9" stopIfTrue="1" operator="lessThanOrEqual">
      <formula>$E$117</formula>
    </cfRule>
  </conditionalFormatting>
  <conditionalFormatting sqref="R107">
    <cfRule type="cellIs" dxfId="185" priority="6" stopIfTrue="1" operator="greaterThan">
      <formula>$E$107</formula>
    </cfRule>
    <cfRule type="cellIs" dxfId="184" priority="7" stopIfTrue="1" operator="lessThanOrEqual">
      <formula>$E$107</formula>
    </cfRule>
  </conditionalFormatting>
  <conditionalFormatting sqref="R108">
    <cfRule type="cellIs" dxfId="183" priority="4" stopIfTrue="1" operator="lessThan">
      <formula>$E$108</formula>
    </cfRule>
    <cfRule type="cellIs" dxfId="182" priority="5" stopIfTrue="1" operator="greaterThanOrEqual">
      <formula>$E$108</formula>
    </cfRule>
  </conditionalFormatting>
  <conditionalFormatting sqref="R93">
    <cfRule type="cellIs" dxfId="181" priority="24" stopIfTrue="1" operator="lessThan">
      <formula>$D$93</formula>
    </cfRule>
    <cfRule type="cellIs" dxfId="180" priority="25" stopIfTrue="1" operator="between">
      <formula>$D$93</formula>
      <formula>$E$93</formula>
    </cfRule>
    <cfRule type="cellIs" dxfId="179" priority="26" stopIfTrue="1" operator="greaterThan">
      <formula>$E$93</formula>
    </cfRule>
  </conditionalFormatting>
  <conditionalFormatting sqref="R114">
    <cfRule type="cellIs" dxfId="178" priority="27" stopIfTrue="1" operator="lessThan">
      <formula>$E$114</formula>
    </cfRule>
    <cfRule type="cellIs" dxfId="177" priority="28" stopIfTrue="1" operator="between">
      <formula>$D$114</formula>
      <formula>$E$114</formula>
    </cfRule>
    <cfRule type="cellIs" dxfId="176" priority="29" stopIfTrue="1" operator="greaterThanOrEqual">
      <formula>$D$114</formula>
    </cfRule>
  </conditionalFormatting>
  <conditionalFormatting sqref="R90">
    <cfRule type="cellIs" dxfId="175" priority="2" stopIfTrue="1" operator="lessThan">
      <formula>$E$90</formula>
    </cfRule>
    <cfRule type="cellIs" dxfId="174" priority="3" stopIfTrue="1" operator="greaterThan">
      <formula>$E$90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18.5703125" style="48" customWidth="1"/>
    <col min="8" max="8" width="8.7109375" style="4" customWidth="1"/>
    <col min="9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18.5703125" style="4" customWidth="1"/>
    <col min="264" max="264" width="8.7109375" style="4" customWidth="1"/>
    <col min="265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18.5703125" style="4" customWidth="1"/>
    <col min="520" max="520" width="8.7109375" style="4" customWidth="1"/>
    <col min="521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18.5703125" style="4" customWidth="1"/>
    <col min="776" max="776" width="8.7109375" style="4" customWidth="1"/>
    <col min="777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18.5703125" style="4" customWidth="1"/>
    <col min="1032" max="1032" width="8.7109375" style="4" customWidth="1"/>
    <col min="1033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18.5703125" style="4" customWidth="1"/>
    <col min="1288" max="1288" width="8.7109375" style="4" customWidth="1"/>
    <col min="1289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18.5703125" style="4" customWidth="1"/>
    <col min="1544" max="1544" width="8.7109375" style="4" customWidth="1"/>
    <col min="1545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18.5703125" style="4" customWidth="1"/>
    <col min="1800" max="1800" width="8.7109375" style="4" customWidth="1"/>
    <col min="1801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18.5703125" style="4" customWidth="1"/>
    <col min="2056" max="2056" width="8.7109375" style="4" customWidth="1"/>
    <col min="2057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18.5703125" style="4" customWidth="1"/>
    <col min="2312" max="2312" width="8.7109375" style="4" customWidth="1"/>
    <col min="2313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18.5703125" style="4" customWidth="1"/>
    <col min="2568" max="2568" width="8.7109375" style="4" customWidth="1"/>
    <col min="2569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18.5703125" style="4" customWidth="1"/>
    <col min="2824" max="2824" width="8.7109375" style="4" customWidth="1"/>
    <col min="2825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18.5703125" style="4" customWidth="1"/>
    <col min="3080" max="3080" width="8.7109375" style="4" customWidth="1"/>
    <col min="3081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18.5703125" style="4" customWidth="1"/>
    <col min="3336" max="3336" width="8.7109375" style="4" customWidth="1"/>
    <col min="3337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18.5703125" style="4" customWidth="1"/>
    <col min="3592" max="3592" width="8.7109375" style="4" customWidth="1"/>
    <col min="3593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18.5703125" style="4" customWidth="1"/>
    <col min="3848" max="3848" width="8.7109375" style="4" customWidth="1"/>
    <col min="3849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18.5703125" style="4" customWidth="1"/>
    <col min="4104" max="4104" width="8.7109375" style="4" customWidth="1"/>
    <col min="4105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18.5703125" style="4" customWidth="1"/>
    <col min="4360" max="4360" width="8.7109375" style="4" customWidth="1"/>
    <col min="4361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18.5703125" style="4" customWidth="1"/>
    <col min="4616" max="4616" width="8.7109375" style="4" customWidth="1"/>
    <col min="4617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18.5703125" style="4" customWidth="1"/>
    <col min="4872" max="4872" width="8.7109375" style="4" customWidth="1"/>
    <col min="4873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18.5703125" style="4" customWidth="1"/>
    <col min="5128" max="5128" width="8.7109375" style="4" customWidth="1"/>
    <col min="5129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18.5703125" style="4" customWidth="1"/>
    <col min="5384" max="5384" width="8.7109375" style="4" customWidth="1"/>
    <col min="5385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18.5703125" style="4" customWidth="1"/>
    <col min="5640" max="5640" width="8.7109375" style="4" customWidth="1"/>
    <col min="5641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18.5703125" style="4" customWidth="1"/>
    <col min="5896" max="5896" width="8.7109375" style="4" customWidth="1"/>
    <col min="5897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18.5703125" style="4" customWidth="1"/>
    <col min="6152" max="6152" width="8.7109375" style="4" customWidth="1"/>
    <col min="6153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18.5703125" style="4" customWidth="1"/>
    <col min="6408" max="6408" width="8.7109375" style="4" customWidth="1"/>
    <col min="6409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18.5703125" style="4" customWidth="1"/>
    <col min="6664" max="6664" width="8.7109375" style="4" customWidth="1"/>
    <col min="6665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18.5703125" style="4" customWidth="1"/>
    <col min="6920" max="6920" width="8.7109375" style="4" customWidth="1"/>
    <col min="6921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18.5703125" style="4" customWidth="1"/>
    <col min="7176" max="7176" width="8.7109375" style="4" customWidth="1"/>
    <col min="7177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18.5703125" style="4" customWidth="1"/>
    <col min="7432" max="7432" width="8.7109375" style="4" customWidth="1"/>
    <col min="7433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18.5703125" style="4" customWidth="1"/>
    <col min="7688" max="7688" width="8.7109375" style="4" customWidth="1"/>
    <col min="7689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18.5703125" style="4" customWidth="1"/>
    <col min="7944" max="7944" width="8.7109375" style="4" customWidth="1"/>
    <col min="7945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18.5703125" style="4" customWidth="1"/>
    <col min="8200" max="8200" width="8.7109375" style="4" customWidth="1"/>
    <col min="8201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18.5703125" style="4" customWidth="1"/>
    <col min="8456" max="8456" width="8.7109375" style="4" customWidth="1"/>
    <col min="8457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18.5703125" style="4" customWidth="1"/>
    <col min="8712" max="8712" width="8.7109375" style="4" customWidth="1"/>
    <col min="8713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18.5703125" style="4" customWidth="1"/>
    <col min="8968" max="8968" width="8.7109375" style="4" customWidth="1"/>
    <col min="8969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18.5703125" style="4" customWidth="1"/>
    <col min="9224" max="9224" width="8.7109375" style="4" customWidth="1"/>
    <col min="9225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18.5703125" style="4" customWidth="1"/>
    <col min="9480" max="9480" width="8.7109375" style="4" customWidth="1"/>
    <col min="9481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18.5703125" style="4" customWidth="1"/>
    <col min="9736" max="9736" width="8.7109375" style="4" customWidth="1"/>
    <col min="9737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18.5703125" style="4" customWidth="1"/>
    <col min="9992" max="9992" width="8.7109375" style="4" customWidth="1"/>
    <col min="9993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18.5703125" style="4" customWidth="1"/>
    <col min="10248" max="10248" width="8.7109375" style="4" customWidth="1"/>
    <col min="10249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18.5703125" style="4" customWidth="1"/>
    <col min="10504" max="10504" width="8.7109375" style="4" customWidth="1"/>
    <col min="10505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18.5703125" style="4" customWidth="1"/>
    <col min="10760" max="10760" width="8.7109375" style="4" customWidth="1"/>
    <col min="10761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18.5703125" style="4" customWidth="1"/>
    <col min="11016" max="11016" width="8.7109375" style="4" customWidth="1"/>
    <col min="11017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18.5703125" style="4" customWidth="1"/>
    <col min="11272" max="11272" width="8.7109375" style="4" customWidth="1"/>
    <col min="11273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18.5703125" style="4" customWidth="1"/>
    <col min="11528" max="11528" width="8.7109375" style="4" customWidth="1"/>
    <col min="11529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18.5703125" style="4" customWidth="1"/>
    <col min="11784" max="11784" width="8.7109375" style="4" customWidth="1"/>
    <col min="11785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18.5703125" style="4" customWidth="1"/>
    <col min="12040" max="12040" width="8.7109375" style="4" customWidth="1"/>
    <col min="12041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18.5703125" style="4" customWidth="1"/>
    <col min="12296" max="12296" width="8.7109375" style="4" customWidth="1"/>
    <col min="12297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18.5703125" style="4" customWidth="1"/>
    <col min="12552" max="12552" width="8.7109375" style="4" customWidth="1"/>
    <col min="12553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18.5703125" style="4" customWidth="1"/>
    <col min="12808" max="12808" width="8.7109375" style="4" customWidth="1"/>
    <col min="12809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18.5703125" style="4" customWidth="1"/>
    <col min="13064" max="13064" width="8.7109375" style="4" customWidth="1"/>
    <col min="13065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18.5703125" style="4" customWidth="1"/>
    <col min="13320" max="13320" width="8.7109375" style="4" customWidth="1"/>
    <col min="13321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18.5703125" style="4" customWidth="1"/>
    <col min="13576" max="13576" width="8.7109375" style="4" customWidth="1"/>
    <col min="13577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18.5703125" style="4" customWidth="1"/>
    <col min="13832" max="13832" width="8.7109375" style="4" customWidth="1"/>
    <col min="13833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18.5703125" style="4" customWidth="1"/>
    <col min="14088" max="14088" width="8.7109375" style="4" customWidth="1"/>
    <col min="14089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18.5703125" style="4" customWidth="1"/>
    <col min="14344" max="14344" width="8.7109375" style="4" customWidth="1"/>
    <col min="14345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18.5703125" style="4" customWidth="1"/>
    <col min="14600" max="14600" width="8.7109375" style="4" customWidth="1"/>
    <col min="14601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18.5703125" style="4" customWidth="1"/>
    <col min="14856" max="14856" width="8.7109375" style="4" customWidth="1"/>
    <col min="14857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18.5703125" style="4" customWidth="1"/>
    <col min="15112" max="15112" width="8.7109375" style="4" customWidth="1"/>
    <col min="15113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18.5703125" style="4" customWidth="1"/>
    <col min="15368" max="15368" width="8.7109375" style="4" customWidth="1"/>
    <col min="15369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18.5703125" style="4" customWidth="1"/>
    <col min="15624" max="15624" width="8.7109375" style="4" customWidth="1"/>
    <col min="15625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18.5703125" style="4" customWidth="1"/>
    <col min="15880" max="15880" width="8.7109375" style="4" customWidth="1"/>
    <col min="15881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18.5703125" style="4" customWidth="1"/>
    <col min="16136" max="16136" width="8.7109375" style="4" customWidth="1"/>
    <col min="16137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6" t="s">
        <v>352</v>
      </c>
      <c r="H2" s="7" t="s">
        <v>353</v>
      </c>
      <c r="I2" s="8"/>
      <c r="J2" s="9"/>
      <c r="K2" s="1274" t="s">
        <v>6</v>
      </c>
      <c r="L2" s="1275"/>
      <c r="M2" s="1276" t="s">
        <v>354</v>
      </c>
      <c r="N2" s="1277"/>
      <c r="O2" s="1277"/>
      <c r="P2" s="1277"/>
      <c r="Q2" s="1277"/>
      <c r="R2" s="1278"/>
    </row>
    <row r="3" spans="1:18" x14ac:dyDescent="0.2">
      <c r="A3" s="1"/>
      <c r="B3" s="10"/>
      <c r="C3" s="3"/>
      <c r="D3" s="3"/>
      <c r="E3" s="1"/>
      <c r="F3" s="1"/>
      <c r="G3" s="11" t="s">
        <v>7</v>
      </c>
      <c r="H3" s="12">
        <v>40908</v>
      </c>
      <c r="I3" s="12">
        <v>41274</v>
      </c>
      <c r="J3" s="12">
        <v>41639</v>
      </c>
      <c r="K3" s="12">
        <v>42004</v>
      </c>
      <c r="L3" s="12">
        <v>42369</v>
      </c>
      <c r="M3" s="12">
        <v>42735</v>
      </c>
      <c r="N3" s="12">
        <v>43100</v>
      </c>
      <c r="O3" s="12">
        <v>43465</v>
      </c>
      <c r="P3" s="12">
        <v>43830</v>
      </c>
      <c r="Q3" s="12">
        <v>44196</v>
      </c>
      <c r="R3" s="12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14" t="s">
        <v>9</v>
      </c>
      <c r="H4" s="15">
        <f t="shared" ref="H4:R4" si="0">H5+H10</f>
        <v>520.68100000000004</v>
      </c>
      <c r="I4" s="15">
        <f t="shared" si="0"/>
        <v>427.96700000000004</v>
      </c>
      <c r="J4" s="15">
        <f t="shared" si="0"/>
        <v>532.04499999999996</v>
      </c>
      <c r="K4" s="15">
        <f t="shared" si="0"/>
        <v>424.36100000000005</v>
      </c>
      <c r="L4" s="15">
        <f t="shared" si="0"/>
        <v>314.59200000000004</v>
      </c>
      <c r="M4" s="15">
        <f t="shared" si="0"/>
        <v>189</v>
      </c>
      <c r="N4" s="15">
        <f t="shared" si="0"/>
        <v>83</v>
      </c>
      <c r="O4" s="15">
        <f t="shared" si="0"/>
        <v>15</v>
      </c>
      <c r="P4" s="15">
        <f t="shared" si="0"/>
        <v>12</v>
      </c>
      <c r="Q4" s="15">
        <f t="shared" si="0"/>
        <v>16</v>
      </c>
      <c r="R4" s="15">
        <f t="shared" si="0"/>
        <v>12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15">
        <f t="shared" ref="H5:Q5" si="1">SUM(H6:H9)</f>
        <v>4.9459999999999997</v>
      </c>
      <c r="I5" s="15">
        <f t="shared" si="1"/>
        <v>6.0019999999999998</v>
      </c>
      <c r="J5" s="15">
        <f t="shared" si="1"/>
        <v>32.103000000000002</v>
      </c>
      <c r="K5" s="15">
        <f t="shared" si="1"/>
        <v>14.92</v>
      </c>
      <c r="L5" s="15">
        <f t="shared" si="1"/>
        <v>11.862</v>
      </c>
      <c r="M5" s="15">
        <f t="shared" si="1"/>
        <v>6</v>
      </c>
      <c r="N5" s="15">
        <f t="shared" si="1"/>
        <v>6</v>
      </c>
      <c r="O5" s="15">
        <f t="shared" si="1"/>
        <v>6</v>
      </c>
      <c r="P5" s="15">
        <f t="shared" si="1"/>
        <v>6</v>
      </c>
      <c r="Q5" s="15">
        <f t="shared" si="1"/>
        <v>6</v>
      </c>
      <c r="R5" s="15">
        <f>SUM(R6:R9)</f>
        <v>6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21">
        <v>1.6879999999999999</v>
      </c>
      <c r="I6" s="21">
        <v>3.25</v>
      </c>
      <c r="J6" s="21">
        <v>25.004000000000001</v>
      </c>
      <c r="K6" s="21">
        <v>11.433</v>
      </c>
      <c r="L6" s="21">
        <v>10.436999999999999</v>
      </c>
      <c r="M6" s="21">
        <v>4</v>
      </c>
      <c r="N6" s="21">
        <v>4</v>
      </c>
      <c r="O6" s="21">
        <v>4</v>
      </c>
      <c r="P6" s="21">
        <v>4</v>
      </c>
      <c r="Q6" s="21">
        <v>4</v>
      </c>
      <c r="R6" s="21">
        <v>4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21">
        <v>3.258</v>
      </c>
      <c r="I7" s="21">
        <v>2.7519999999999998</v>
      </c>
      <c r="J7" s="21">
        <v>7.0990000000000002</v>
      </c>
      <c r="K7" s="21">
        <v>3.4870000000000001</v>
      </c>
      <c r="L7" s="21">
        <v>1.425</v>
      </c>
      <c r="M7" s="21">
        <v>2</v>
      </c>
      <c r="N7" s="21">
        <v>2</v>
      </c>
      <c r="O7" s="21">
        <v>2</v>
      </c>
      <c r="P7" s="21">
        <v>2</v>
      </c>
      <c r="Q7" s="21">
        <v>2</v>
      </c>
      <c r="R7" s="21">
        <v>2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15">
        <f>SUM(H11:H16)</f>
        <v>515.73500000000001</v>
      </c>
      <c r="I10" s="15">
        <f t="shared" ref="I10:R10" si="2">SUM(I11:I16)</f>
        <v>421.96500000000003</v>
      </c>
      <c r="J10" s="15">
        <f t="shared" si="2"/>
        <v>499.94200000000001</v>
      </c>
      <c r="K10" s="15">
        <f t="shared" si="2"/>
        <v>409.44100000000003</v>
      </c>
      <c r="L10" s="15">
        <f t="shared" si="2"/>
        <v>302.73</v>
      </c>
      <c r="M10" s="15">
        <f t="shared" si="2"/>
        <v>183</v>
      </c>
      <c r="N10" s="15">
        <f t="shared" si="2"/>
        <v>77</v>
      </c>
      <c r="O10" s="15">
        <f t="shared" si="2"/>
        <v>9</v>
      </c>
      <c r="P10" s="15">
        <f t="shared" si="2"/>
        <v>6</v>
      </c>
      <c r="Q10" s="15">
        <f t="shared" si="2"/>
        <v>10</v>
      </c>
      <c r="R10" s="15">
        <f t="shared" si="2"/>
        <v>6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21">
        <v>28.364999999999998</v>
      </c>
      <c r="I14" s="21">
        <v>23.207999999999998</v>
      </c>
      <c r="J14" s="21">
        <v>18.050999999999998</v>
      </c>
      <c r="K14" s="21">
        <v>12.893000000000001</v>
      </c>
      <c r="L14" s="21">
        <v>7.7359999999999998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21">
        <v>487.37</v>
      </c>
      <c r="I15" s="21">
        <v>398.75700000000001</v>
      </c>
      <c r="J15" s="21">
        <f>478.69+3.201</f>
        <v>481.89100000000002</v>
      </c>
      <c r="K15" s="21">
        <f>394.033+2.515</f>
        <v>396.548</v>
      </c>
      <c r="L15" s="21">
        <f>293.165+1.829</f>
        <v>294.99400000000003</v>
      </c>
      <c r="M15" s="21">
        <v>183</v>
      </c>
      <c r="N15" s="21">
        <v>77</v>
      </c>
      <c r="O15" s="21">
        <v>9</v>
      </c>
      <c r="P15" s="21">
        <v>6</v>
      </c>
      <c r="Q15" s="21">
        <v>10</v>
      </c>
      <c r="R15" s="21">
        <v>6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15">
        <f>H19+H27</f>
        <v>520.68100000000004</v>
      </c>
      <c r="I18" s="15">
        <f t="shared" ref="I18:R18" si="3">I19+I27</f>
        <v>427.96700000000004</v>
      </c>
      <c r="J18" s="15">
        <f t="shared" si="3"/>
        <v>532.04399999999998</v>
      </c>
      <c r="K18" s="15">
        <f t="shared" si="3"/>
        <v>424.36200000000002</v>
      </c>
      <c r="L18" s="15">
        <f t="shared" si="3"/>
        <v>314.59199999999998</v>
      </c>
      <c r="M18" s="15">
        <f t="shared" si="3"/>
        <v>189</v>
      </c>
      <c r="N18" s="15">
        <f t="shared" si="3"/>
        <v>83</v>
      </c>
      <c r="O18" s="15">
        <f t="shared" si="3"/>
        <v>15</v>
      </c>
      <c r="P18" s="15">
        <f t="shared" si="3"/>
        <v>12</v>
      </c>
      <c r="Q18" s="15">
        <f t="shared" si="3"/>
        <v>16</v>
      </c>
      <c r="R18" s="15">
        <f t="shared" si="3"/>
        <v>12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15">
        <f>SUM(H21:H26)</f>
        <v>2.258</v>
      </c>
      <c r="I19" s="15">
        <f t="shared" ref="I19:R19" si="4">SUM(I21:I26)</f>
        <v>2.1840000000000002</v>
      </c>
      <c r="J19" s="15">
        <f t="shared" si="4"/>
        <v>132.63</v>
      </c>
      <c r="K19" s="15">
        <f t="shared" si="4"/>
        <v>14.276</v>
      </c>
      <c r="L19" s="15">
        <f t="shared" si="4"/>
        <v>6.7220000000000004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31">
        <v>2.258</v>
      </c>
      <c r="I20" s="31">
        <v>2.1840000000000002</v>
      </c>
      <c r="J20" s="31">
        <v>132.63</v>
      </c>
      <c r="K20" s="31">
        <v>14.276</v>
      </c>
      <c r="L20" s="31">
        <v>6.7220000000000004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21">
        <v>2.258</v>
      </c>
      <c r="I21" s="21">
        <v>2.1840000000000002</v>
      </c>
      <c r="J21" s="21">
        <v>132.63</v>
      </c>
      <c r="K21" s="21">
        <v>14.276</v>
      </c>
      <c r="L21" s="21">
        <v>6.7220000000000004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15">
        <f>SUM(H28:H30)</f>
        <v>518.423</v>
      </c>
      <c r="I27" s="15">
        <f t="shared" ref="I27:R27" si="5">SUM(I28:I30)</f>
        <v>425.78300000000002</v>
      </c>
      <c r="J27" s="15">
        <f t="shared" si="5"/>
        <v>399.41399999999999</v>
      </c>
      <c r="K27" s="15">
        <f t="shared" si="5"/>
        <v>410.08600000000001</v>
      </c>
      <c r="L27" s="15">
        <f t="shared" si="5"/>
        <v>307.87</v>
      </c>
      <c r="M27" s="15">
        <f t="shared" si="5"/>
        <v>189</v>
      </c>
      <c r="N27" s="15">
        <f t="shared" si="5"/>
        <v>83</v>
      </c>
      <c r="O27" s="15">
        <f t="shared" si="5"/>
        <v>15</v>
      </c>
      <c r="P27" s="15">
        <f t="shared" si="5"/>
        <v>12</v>
      </c>
      <c r="Q27" s="15">
        <f t="shared" si="5"/>
        <v>16</v>
      </c>
      <c r="R27" s="15">
        <f t="shared" si="5"/>
        <v>12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21">
        <v>615.548</v>
      </c>
      <c r="I29" s="21">
        <v>518.423</v>
      </c>
      <c r="J29" s="21">
        <v>425.78300000000002</v>
      </c>
      <c r="K29" s="21">
        <v>399.41399999999999</v>
      </c>
      <c r="L29" s="21">
        <v>410.08600000000001</v>
      </c>
      <c r="M29" s="21">
        <v>308</v>
      </c>
      <c r="N29" s="21">
        <v>189</v>
      </c>
      <c r="O29" s="21">
        <v>83</v>
      </c>
      <c r="P29" s="21">
        <v>15</v>
      </c>
      <c r="Q29" s="21">
        <v>12</v>
      </c>
      <c r="R29" s="21">
        <v>8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21">
        <v>-97.125</v>
      </c>
      <c r="I30" s="21">
        <v>-92.64</v>
      </c>
      <c r="J30" s="21">
        <v>-26.369</v>
      </c>
      <c r="K30" s="21">
        <v>10.672000000000001</v>
      </c>
      <c r="L30" s="21">
        <v>-102.21599999999999</v>
      </c>
      <c r="M30" s="21">
        <v>-119</v>
      </c>
      <c r="N30" s="21">
        <v>-106</v>
      </c>
      <c r="O30" s="21">
        <v>-68</v>
      </c>
      <c r="P30" s="21">
        <v>-3</v>
      </c>
      <c r="Q30" s="21">
        <v>4</v>
      </c>
      <c r="R30" s="21">
        <v>4</v>
      </c>
    </row>
    <row r="31" spans="1:19" s="40" customFormat="1" x14ac:dyDescent="0.2">
      <c r="A31" s="35"/>
      <c r="B31" s="10"/>
      <c r="C31" s="36"/>
      <c r="D31" s="36"/>
      <c r="E31" s="37"/>
      <c r="F31" s="35"/>
      <c r="G31" s="38" t="s">
        <v>77</v>
      </c>
      <c r="H31" s="39">
        <f t="shared" ref="H31:R31" si="6">H4-H18</f>
        <v>0</v>
      </c>
      <c r="I31" s="39">
        <f t="shared" si="6"/>
        <v>0</v>
      </c>
      <c r="J31" s="39">
        <f t="shared" si="6"/>
        <v>9.9999999997635314E-4</v>
      </c>
      <c r="K31" s="39">
        <f t="shared" si="6"/>
        <v>-9.9999999997635314E-4</v>
      </c>
      <c r="L31" s="39">
        <f t="shared" si="6"/>
        <v>0</v>
      </c>
      <c r="M31" s="39">
        <f t="shared" si="6"/>
        <v>0</v>
      </c>
      <c r="N31" s="39">
        <f t="shared" si="6"/>
        <v>0</v>
      </c>
      <c r="O31" s="39">
        <f t="shared" si="6"/>
        <v>0</v>
      </c>
      <c r="P31" s="39">
        <f t="shared" si="6"/>
        <v>0</v>
      </c>
      <c r="Q31" s="39">
        <f t="shared" si="6"/>
        <v>0</v>
      </c>
      <c r="R31" s="39">
        <f t="shared" si="6"/>
        <v>0</v>
      </c>
      <c r="S31" s="4"/>
    </row>
    <row r="32" spans="1:19" x14ac:dyDescent="0.2">
      <c r="G32" s="11" t="s">
        <v>78</v>
      </c>
      <c r="H32" s="41">
        <v>2011</v>
      </c>
      <c r="I32" s="41">
        <f t="shared" ref="I32:R32" si="7">H32+1</f>
        <v>2012</v>
      </c>
      <c r="J32" s="41">
        <f t="shared" si="7"/>
        <v>2013</v>
      </c>
      <c r="K32" s="41">
        <f t="shared" si="7"/>
        <v>2014</v>
      </c>
      <c r="L32" s="41">
        <f t="shared" si="7"/>
        <v>2015</v>
      </c>
      <c r="M32" s="41">
        <f t="shared" si="7"/>
        <v>2016</v>
      </c>
      <c r="N32" s="41">
        <f t="shared" si="7"/>
        <v>2017</v>
      </c>
      <c r="O32" s="41">
        <f t="shared" si="7"/>
        <v>2018</v>
      </c>
      <c r="P32" s="41">
        <f t="shared" si="7"/>
        <v>2019</v>
      </c>
      <c r="Q32" s="41">
        <f t="shared" si="7"/>
        <v>2020</v>
      </c>
      <c r="R32" s="41">
        <f t="shared" si="7"/>
        <v>2021</v>
      </c>
    </row>
    <row r="33" spans="1:18" x14ac:dyDescent="0.2">
      <c r="B33" s="2" t="s">
        <v>79</v>
      </c>
      <c r="C33" s="19">
        <v>3</v>
      </c>
      <c r="G33" s="14" t="s">
        <v>80</v>
      </c>
      <c r="H33" s="15">
        <f>SUM(H34:H37)</f>
        <v>22.265000000000001</v>
      </c>
      <c r="I33" s="15">
        <f t="shared" ref="I33:R33" si="8">SUM(I34:I37)</f>
        <v>21.951999999999998</v>
      </c>
      <c r="J33" s="15">
        <f t="shared" si="8"/>
        <v>89.765000000000001</v>
      </c>
      <c r="K33" s="15">
        <f t="shared" si="8"/>
        <v>139.11099999999999</v>
      </c>
      <c r="L33" s="15">
        <f t="shared" si="8"/>
        <v>29.786999999999999</v>
      </c>
      <c r="M33" s="15">
        <f t="shared" si="8"/>
        <v>28</v>
      </c>
      <c r="N33" s="15">
        <f t="shared" si="8"/>
        <v>22</v>
      </c>
      <c r="O33" s="15">
        <f t="shared" si="8"/>
        <v>22</v>
      </c>
      <c r="P33" s="15">
        <f t="shared" si="8"/>
        <v>22</v>
      </c>
      <c r="Q33" s="15">
        <f t="shared" si="8"/>
        <v>22</v>
      </c>
      <c r="R33" s="15">
        <f t="shared" si="8"/>
        <v>22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21">
        <v>15.874000000000001</v>
      </c>
      <c r="I35" s="21">
        <v>14.914</v>
      </c>
      <c r="J35" s="21">
        <v>14.468999999999999</v>
      </c>
      <c r="K35" s="21">
        <v>12.677</v>
      </c>
      <c r="L35" s="21">
        <v>13.847</v>
      </c>
      <c r="M35" s="21">
        <v>14</v>
      </c>
      <c r="N35" s="21">
        <v>14</v>
      </c>
      <c r="O35" s="21">
        <v>14</v>
      </c>
      <c r="P35" s="21">
        <v>14</v>
      </c>
      <c r="Q35" s="21">
        <v>14</v>
      </c>
      <c r="R35" s="21">
        <v>14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21">
        <v>6.391</v>
      </c>
      <c r="I36" s="21">
        <v>7.0380000000000003</v>
      </c>
      <c r="J36" s="21">
        <v>75.296000000000006</v>
      </c>
      <c r="K36" s="21">
        <v>126.434</v>
      </c>
      <c r="L36" s="21">
        <v>15.94</v>
      </c>
      <c r="M36" s="21">
        <v>14</v>
      </c>
      <c r="N36" s="21">
        <v>8</v>
      </c>
      <c r="O36" s="21">
        <v>8</v>
      </c>
      <c r="P36" s="21">
        <v>8</v>
      </c>
      <c r="Q36" s="21">
        <v>8</v>
      </c>
      <c r="R36" s="21">
        <v>8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15">
        <f>H39+H40</f>
        <v>0</v>
      </c>
      <c r="I38" s="15">
        <f t="shared" ref="I38:R38" si="9">I39+I40</f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9"/>
        <v>0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15">
        <f>SUM(H42:H45)</f>
        <v>-119.395</v>
      </c>
      <c r="I41" s="15">
        <f t="shared" ref="I41:R41" si="10">SUM(I42:I45)</f>
        <v>-114.59399999999999</v>
      </c>
      <c r="J41" s="15">
        <f t="shared" si="10"/>
        <v>-116.13500000000001</v>
      </c>
      <c r="K41" s="15">
        <f t="shared" si="10"/>
        <v>-128.43899999999999</v>
      </c>
      <c r="L41" s="15">
        <f t="shared" si="10"/>
        <v>-132.01599999999999</v>
      </c>
      <c r="M41" s="15">
        <f t="shared" si="10"/>
        <v>-147</v>
      </c>
      <c r="N41" s="15">
        <f t="shared" si="10"/>
        <v>-128</v>
      </c>
      <c r="O41" s="15">
        <f t="shared" si="10"/>
        <v>-90</v>
      </c>
      <c r="P41" s="15">
        <f t="shared" si="10"/>
        <v>-25</v>
      </c>
      <c r="Q41" s="15">
        <f t="shared" si="10"/>
        <v>-18</v>
      </c>
      <c r="R41" s="15">
        <f t="shared" si="10"/>
        <v>-18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21">
        <v>-14.568</v>
      </c>
      <c r="I42" s="21">
        <v>-16.492000000000001</v>
      </c>
      <c r="J42" s="21">
        <v>-18.050999999999998</v>
      </c>
      <c r="K42" s="21">
        <v>-16.443000000000001</v>
      </c>
      <c r="L42" s="21">
        <v>-16.419</v>
      </c>
      <c r="M42" s="21">
        <v>-16</v>
      </c>
      <c r="N42" s="21">
        <v>-16</v>
      </c>
      <c r="O42" s="21">
        <v>-16</v>
      </c>
      <c r="P42" s="21">
        <v>-16</v>
      </c>
      <c r="Q42" s="21">
        <v>-16</v>
      </c>
      <c r="R42" s="21">
        <v>-16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21">
        <v>-10.086</v>
      </c>
      <c r="I43" s="21">
        <v>-2.7109999999999999</v>
      </c>
      <c r="J43" s="21">
        <v>-2.3980000000000001</v>
      </c>
      <c r="K43" s="21">
        <v>-8.7799999999999994</v>
      </c>
      <c r="L43" s="21">
        <v>-1.109</v>
      </c>
      <c r="M43" s="21">
        <v>-5</v>
      </c>
      <c r="N43" s="21">
        <v>-4</v>
      </c>
      <c r="O43" s="21">
        <v>-2</v>
      </c>
      <c r="P43" s="21">
        <v>-2</v>
      </c>
      <c r="Q43" s="21">
        <v>-2</v>
      </c>
      <c r="R43" s="21">
        <v>-2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21">
        <v>-0.97099999999999997</v>
      </c>
      <c r="I44" s="21">
        <v>-1.621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21">
        <v>-93.77</v>
      </c>
      <c r="I45" s="21">
        <v>-93.77</v>
      </c>
      <c r="J45" s="21">
        <v>-95.686000000000007</v>
      </c>
      <c r="K45" s="21">
        <v>-103.21599999999999</v>
      </c>
      <c r="L45" s="21">
        <v>-114.488</v>
      </c>
      <c r="M45" s="21">
        <v>-126</v>
      </c>
      <c r="N45" s="21">
        <v>-108</v>
      </c>
      <c r="O45" s="21">
        <v>-72</v>
      </c>
      <c r="P45" s="21">
        <v>-7</v>
      </c>
      <c r="Q45" s="21">
        <v>0</v>
      </c>
      <c r="R45" s="21">
        <v>0</v>
      </c>
    </row>
    <row r="46" spans="1:18" x14ac:dyDescent="0.2">
      <c r="B46" s="2" t="s">
        <v>107</v>
      </c>
      <c r="G46" s="18" t="s">
        <v>108</v>
      </c>
      <c r="H46" s="15">
        <f>H33+H38+H41</f>
        <v>-97.13</v>
      </c>
      <c r="I46" s="15">
        <f t="shared" ref="I46:R46" si="11">I33+I38+I41</f>
        <v>-92.641999999999996</v>
      </c>
      <c r="J46" s="15">
        <f t="shared" si="11"/>
        <v>-26.370000000000005</v>
      </c>
      <c r="K46" s="15">
        <f t="shared" si="11"/>
        <v>10.671999999999997</v>
      </c>
      <c r="L46" s="15">
        <f t="shared" si="11"/>
        <v>-102.22899999999998</v>
      </c>
      <c r="M46" s="15">
        <f t="shared" si="11"/>
        <v>-119</v>
      </c>
      <c r="N46" s="15">
        <f t="shared" si="11"/>
        <v>-106</v>
      </c>
      <c r="O46" s="15">
        <f t="shared" si="11"/>
        <v>-68</v>
      </c>
      <c r="P46" s="15">
        <f t="shared" si="11"/>
        <v>-3</v>
      </c>
      <c r="Q46" s="15">
        <f t="shared" si="11"/>
        <v>4</v>
      </c>
      <c r="R46" s="15">
        <f t="shared" si="11"/>
        <v>4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21">
        <v>4.0000000000000001E-3</v>
      </c>
      <c r="I47" s="21">
        <v>1E-3</v>
      </c>
      <c r="J47" s="21">
        <v>1E-3</v>
      </c>
      <c r="K47" s="21">
        <v>0</v>
      </c>
      <c r="L47" s="21">
        <v>1.2E-2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1:18" x14ac:dyDescent="0.2">
      <c r="B48" s="2" t="s">
        <v>111</v>
      </c>
      <c r="G48" s="18" t="s">
        <v>112</v>
      </c>
      <c r="H48" s="15">
        <f>H46+H47</f>
        <v>-97.125999999999991</v>
      </c>
      <c r="I48" s="15">
        <f t="shared" ref="I48:R48" si="12">I46+I47</f>
        <v>-92.640999999999991</v>
      </c>
      <c r="J48" s="15">
        <f t="shared" si="12"/>
        <v>-26.369000000000003</v>
      </c>
      <c r="K48" s="15">
        <f t="shared" si="12"/>
        <v>10.671999999999997</v>
      </c>
      <c r="L48" s="15">
        <f t="shared" si="12"/>
        <v>-102.21699999999998</v>
      </c>
      <c r="M48" s="15">
        <f t="shared" si="12"/>
        <v>-119</v>
      </c>
      <c r="N48" s="15">
        <f t="shared" si="12"/>
        <v>-106</v>
      </c>
      <c r="O48" s="15">
        <f t="shared" si="12"/>
        <v>-68</v>
      </c>
      <c r="P48" s="15">
        <f t="shared" si="12"/>
        <v>-3</v>
      </c>
      <c r="Q48" s="15">
        <f t="shared" si="12"/>
        <v>4</v>
      </c>
      <c r="R48" s="15">
        <f t="shared" si="12"/>
        <v>4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x14ac:dyDescent="0.2">
      <c r="B51" s="2" t="s">
        <v>117</v>
      </c>
      <c r="G51" s="18" t="s">
        <v>118</v>
      </c>
      <c r="H51" s="15">
        <f>H48+H49+H50</f>
        <v>-97.125999999999991</v>
      </c>
      <c r="I51" s="15">
        <f t="shared" ref="I51:R51" si="13">I48+I49+I50</f>
        <v>-92.640999999999991</v>
      </c>
      <c r="J51" s="15">
        <f t="shared" si="13"/>
        <v>-26.369000000000003</v>
      </c>
      <c r="K51" s="15">
        <f t="shared" si="13"/>
        <v>10.671999999999997</v>
      </c>
      <c r="L51" s="15">
        <f t="shared" si="13"/>
        <v>-102.21699999999998</v>
      </c>
      <c r="M51" s="15">
        <f t="shared" si="13"/>
        <v>-119</v>
      </c>
      <c r="N51" s="15">
        <f t="shared" si="13"/>
        <v>-106</v>
      </c>
      <c r="O51" s="15">
        <f t="shared" si="13"/>
        <v>-68</v>
      </c>
      <c r="P51" s="15">
        <f t="shared" si="13"/>
        <v>-3</v>
      </c>
      <c r="Q51" s="15">
        <f t="shared" si="13"/>
        <v>4</v>
      </c>
      <c r="R51" s="15">
        <f t="shared" si="13"/>
        <v>4</v>
      </c>
    </row>
    <row r="52" spans="1:18" x14ac:dyDescent="0.2">
      <c r="A52" s="43"/>
      <c r="C52" s="44"/>
      <c r="D52" s="44"/>
      <c r="E52" s="45"/>
      <c r="F52" s="43"/>
      <c r="G52" s="38" t="s">
        <v>119</v>
      </c>
      <c r="H52" s="39">
        <f>H30-H51</f>
        <v>9.9999999999056399E-4</v>
      </c>
      <c r="I52" s="39">
        <f t="shared" ref="I52:R52" si="14">I30-I51</f>
        <v>9.9999999999056399E-4</v>
      </c>
      <c r="J52" s="39">
        <f t="shared" si="14"/>
        <v>0</v>
      </c>
      <c r="K52" s="39">
        <f t="shared" si="14"/>
        <v>0</v>
      </c>
      <c r="L52" s="39">
        <f t="shared" si="14"/>
        <v>9.9999999999056399E-4</v>
      </c>
      <c r="M52" s="39">
        <f t="shared" si="14"/>
        <v>0</v>
      </c>
      <c r="N52" s="39">
        <f t="shared" si="14"/>
        <v>0</v>
      </c>
      <c r="O52" s="39">
        <f t="shared" si="14"/>
        <v>0</v>
      </c>
      <c r="P52" s="39">
        <f t="shared" si="14"/>
        <v>0</v>
      </c>
      <c r="Q52" s="39">
        <f t="shared" si="14"/>
        <v>0</v>
      </c>
      <c r="R52" s="39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21">
        <v>1</v>
      </c>
      <c r="I54" s="21">
        <v>1</v>
      </c>
      <c r="J54" s="21">
        <v>1</v>
      </c>
      <c r="K54" s="21">
        <v>1</v>
      </c>
      <c r="L54" s="21">
        <v>1</v>
      </c>
      <c r="M54" s="21">
        <v>1</v>
      </c>
      <c r="N54" s="21">
        <v>1</v>
      </c>
      <c r="O54" s="21">
        <v>1</v>
      </c>
      <c r="P54" s="21">
        <v>1</v>
      </c>
      <c r="Q54" s="21">
        <v>1</v>
      </c>
      <c r="R54" s="21">
        <v>1</v>
      </c>
    </row>
    <row r="55" spans="1:18" ht="12" x14ac:dyDescent="0.2">
      <c r="E55" s="20" t="s">
        <v>14</v>
      </c>
      <c r="G55" s="46" t="s">
        <v>122</v>
      </c>
      <c r="H55" s="21"/>
      <c r="I55" s="21"/>
      <c r="J55" s="21"/>
      <c r="K55" s="21"/>
      <c r="L55" s="47"/>
      <c r="M55" s="47"/>
      <c r="N55" s="47"/>
      <c r="O55" s="47"/>
      <c r="P55" s="47"/>
      <c r="Q55" s="47"/>
      <c r="R55" s="47"/>
    </row>
    <row r="57" spans="1:18" x14ac:dyDescent="0.2">
      <c r="D57" s="49" t="s">
        <v>123</v>
      </c>
      <c r="E57" s="50" t="s">
        <v>3</v>
      </c>
      <c r="F57" s="17"/>
      <c r="G57" s="11" t="s">
        <v>124</v>
      </c>
      <c r="H57" s="41">
        <f>H32</f>
        <v>2011</v>
      </c>
      <c r="I57" s="41">
        <f t="shared" ref="I57:R57" si="15">I32</f>
        <v>2012</v>
      </c>
      <c r="J57" s="41">
        <f t="shared" si="15"/>
        <v>2013</v>
      </c>
      <c r="K57" s="41">
        <f t="shared" si="15"/>
        <v>2014</v>
      </c>
      <c r="L57" s="41">
        <f t="shared" si="15"/>
        <v>2015</v>
      </c>
      <c r="M57" s="41">
        <f t="shared" si="15"/>
        <v>2016</v>
      </c>
      <c r="N57" s="41">
        <f t="shared" si="15"/>
        <v>2017</v>
      </c>
      <c r="O57" s="41">
        <f t="shared" si="15"/>
        <v>2018</v>
      </c>
      <c r="P57" s="41">
        <f t="shared" si="15"/>
        <v>2019</v>
      </c>
      <c r="Q57" s="41">
        <f t="shared" si="15"/>
        <v>2020</v>
      </c>
      <c r="R57" s="41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14" t="s">
        <v>128</v>
      </c>
      <c r="H58" s="21">
        <v>0</v>
      </c>
      <c r="I58" s="21">
        <v>0</v>
      </c>
      <c r="J58" s="21">
        <v>-173.66200000000001</v>
      </c>
      <c r="K58" s="21">
        <v>-12.715999999999999</v>
      </c>
      <c r="L58" s="21">
        <v>-7.7759999999999998</v>
      </c>
      <c r="M58" s="21">
        <v>-5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21">
        <v>0</v>
      </c>
      <c r="I60" s="21">
        <v>0</v>
      </c>
      <c r="J60" s="21">
        <v>199.999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21">
        <v>2.5000000000000001E-2</v>
      </c>
      <c r="I70" s="21">
        <v>4.0000000000000001E-3</v>
      </c>
      <c r="J70" s="21">
        <v>2E-3</v>
      </c>
      <c r="K70" s="21">
        <v>0</v>
      </c>
      <c r="L70" s="21">
        <v>1.2999999999999999E-2</v>
      </c>
      <c r="M70" s="21">
        <v>0</v>
      </c>
      <c r="N70" s="21">
        <v>3.5000000000000003E-2</v>
      </c>
      <c r="O70" s="21">
        <v>3.5000000000000003E-2</v>
      </c>
      <c r="P70" s="21">
        <v>3.5000000000000003E-2</v>
      </c>
      <c r="Q70" s="21">
        <v>0</v>
      </c>
      <c r="R70" s="21">
        <v>0</v>
      </c>
    </row>
    <row r="71" spans="2:18" x14ac:dyDescent="0.2">
      <c r="B71" s="51" t="s">
        <v>162</v>
      </c>
      <c r="D71" s="16"/>
      <c r="E71" s="22"/>
      <c r="F71" s="22"/>
      <c r="G71" s="57" t="s">
        <v>163</v>
      </c>
      <c r="H71" s="15">
        <f t="shared" ref="H71:R71" si="16">SUM(H58:H70)</f>
        <v>2.5000000000000001E-2</v>
      </c>
      <c r="I71" s="15">
        <f t="shared" si="16"/>
        <v>4.0000000000000001E-3</v>
      </c>
      <c r="J71" s="15">
        <f t="shared" si="16"/>
        <v>26.338999999999988</v>
      </c>
      <c r="K71" s="15">
        <f t="shared" si="16"/>
        <v>-12.715999999999999</v>
      </c>
      <c r="L71" s="15">
        <f t="shared" si="16"/>
        <v>-7.7629999999999999</v>
      </c>
      <c r="M71" s="15">
        <f t="shared" si="16"/>
        <v>-5</v>
      </c>
      <c r="N71" s="15">
        <f t="shared" si="16"/>
        <v>3.5000000000000003E-2</v>
      </c>
      <c r="O71" s="15">
        <f t="shared" si="16"/>
        <v>3.5000000000000003E-2</v>
      </c>
      <c r="P71" s="15">
        <f t="shared" si="16"/>
        <v>3.5000000000000003E-2</v>
      </c>
      <c r="Q71" s="15">
        <f t="shared" si="16"/>
        <v>0</v>
      </c>
      <c r="R71" s="15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11" t="s">
        <v>164</v>
      </c>
      <c r="H73" s="41">
        <f t="shared" ref="H73:R73" si="17">H57</f>
        <v>2011</v>
      </c>
      <c r="I73" s="41">
        <f t="shared" si="17"/>
        <v>2012</v>
      </c>
      <c r="J73" s="41">
        <f t="shared" si="17"/>
        <v>2013</v>
      </c>
      <c r="K73" s="41">
        <f t="shared" si="17"/>
        <v>2014</v>
      </c>
      <c r="L73" s="41">
        <f t="shared" si="17"/>
        <v>2015</v>
      </c>
      <c r="M73" s="41">
        <f t="shared" si="17"/>
        <v>2016</v>
      </c>
      <c r="N73" s="41">
        <f t="shared" si="17"/>
        <v>2017</v>
      </c>
      <c r="O73" s="41">
        <f t="shared" si="17"/>
        <v>2018</v>
      </c>
      <c r="P73" s="41">
        <f t="shared" si="17"/>
        <v>2019</v>
      </c>
      <c r="Q73" s="41">
        <f t="shared" si="17"/>
        <v>2020</v>
      </c>
      <c r="R73" s="41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14" t="s">
        <v>167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21">
        <v>0</v>
      </c>
      <c r="I79" s="21">
        <v>-3.9E-2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59" t="s">
        <v>114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</row>
    <row r="85" spans="1:18" x14ac:dyDescent="0.2">
      <c r="B85" s="2" t="s">
        <v>192</v>
      </c>
      <c r="G85" s="59" t="s">
        <v>163</v>
      </c>
      <c r="H85" s="15">
        <f t="shared" ref="H85:R85" si="18">SUM(H74:H84)</f>
        <v>0</v>
      </c>
      <c r="I85" s="15">
        <f t="shared" si="18"/>
        <v>-3.9E-2</v>
      </c>
      <c r="J85" s="15">
        <f t="shared" si="18"/>
        <v>0</v>
      </c>
      <c r="K85" s="15">
        <f t="shared" si="18"/>
        <v>0</v>
      </c>
      <c r="L85" s="15">
        <f t="shared" si="18"/>
        <v>0</v>
      </c>
      <c r="M85" s="15">
        <f t="shared" si="18"/>
        <v>0</v>
      </c>
      <c r="N85" s="15">
        <f t="shared" si="18"/>
        <v>0</v>
      </c>
      <c r="O85" s="15">
        <f t="shared" si="18"/>
        <v>0</v>
      </c>
      <c r="P85" s="15">
        <f t="shared" si="18"/>
        <v>0</v>
      </c>
      <c r="Q85" s="15">
        <f t="shared" si="18"/>
        <v>0</v>
      </c>
      <c r="R85" s="15">
        <f t="shared" si="18"/>
        <v>0</v>
      </c>
    </row>
    <row r="87" spans="1:18" x14ac:dyDescent="0.2">
      <c r="A87" s="23" t="s">
        <v>0</v>
      </c>
      <c r="D87" s="1279" t="s">
        <v>193</v>
      </c>
      <c r="E87" s="1280"/>
      <c r="G87" s="11" t="s">
        <v>194</v>
      </c>
      <c r="H87" s="41">
        <f t="shared" ref="H87:R87" si="19">H32</f>
        <v>2011</v>
      </c>
      <c r="I87" s="41">
        <f t="shared" si="19"/>
        <v>2012</v>
      </c>
      <c r="J87" s="41">
        <f t="shared" si="19"/>
        <v>2013</v>
      </c>
      <c r="K87" s="41">
        <f t="shared" si="19"/>
        <v>2014</v>
      </c>
      <c r="L87" s="41">
        <f t="shared" si="19"/>
        <v>2015</v>
      </c>
      <c r="M87" s="41">
        <f t="shared" si="19"/>
        <v>2016</v>
      </c>
      <c r="N87" s="41">
        <f t="shared" si="19"/>
        <v>2017</v>
      </c>
      <c r="O87" s="41">
        <f t="shared" si="19"/>
        <v>2018</v>
      </c>
      <c r="P87" s="41">
        <f t="shared" si="19"/>
        <v>2019</v>
      </c>
      <c r="Q87" s="41">
        <f t="shared" si="19"/>
        <v>2020</v>
      </c>
      <c r="R87" s="41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60"/>
      <c r="G88" s="14" t="s">
        <v>198</v>
      </c>
      <c r="H88" s="15">
        <f>H46+H71</f>
        <v>-97.10499999999999</v>
      </c>
      <c r="I88" s="15">
        <f t="shared" ref="I88:R88" si="20">I46+I71</f>
        <v>-92.637999999999991</v>
      </c>
      <c r="J88" s="15">
        <f t="shared" si="20"/>
        <v>-3.100000000001657E-2</v>
      </c>
      <c r="K88" s="15">
        <f t="shared" si="20"/>
        <v>-2.0440000000000023</v>
      </c>
      <c r="L88" s="15">
        <f t="shared" si="20"/>
        <v>-109.99199999999999</v>
      </c>
      <c r="M88" s="15">
        <f t="shared" si="20"/>
        <v>-124</v>
      </c>
      <c r="N88" s="15">
        <f t="shared" si="20"/>
        <v>-105.965</v>
      </c>
      <c r="O88" s="15">
        <f t="shared" si="20"/>
        <v>-67.965000000000003</v>
      </c>
      <c r="P88" s="15">
        <f t="shared" si="20"/>
        <v>-2.9649999999999999</v>
      </c>
      <c r="Q88" s="15">
        <f t="shared" si="20"/>
        <v>4</v>
      </c>
      <c r="R88" s="15">
        <f t="shared" si="20"/>
        <v>4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60"/>
      <c r="G89" s="14" t="s">
        <v>202</v>
      </c>
      <c r="H89" s="61">
        <f t="shared" ref="H89:R89" si="21">H33+H38+H41-H45</f>
        <v>-3.3599999999999994</v>
      </c>
      <c r="I89" s="15">
        <f t="shared" si="21"/>
        <v>1.1280000000000001</v>
      </c>
      <c r="J89" s="15">
        <f t="shared" si="21"/>
        <v>69.316000000000003</v>
      </c>
      <c r="K89" s="15">
        <f t="shared" si="21"/>
        <v>113.88799999999999</v>
      </c>
      <c r="L89" s="15">
        <f t="shared" si="21"/>
        <v>12.259000000000015</v>
      </c>
      <c r="M89" s="15">
        <f t="shared" si="21"/>
        <v>7</v>
      </c>
      <c r="N89" s="15">
        <f t="shared" si="21"/>
        <v>2</v>
      </c>
      <c r="O89" s="15">
        <f t="shared" si="21"/>
        <v>4</v>
      </c>
      <c r="P89" s="15">
        <f t="shared" si="21"/>
        <v>4</v>
      </c>
      <c r="Q89" s="15">
        <f t="shared" si="21"/>
        <v>4</v>
      </c>
      <c r="R89" s="15">
        <f t="shared" si="21"/>
        <v>4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62">
        <v>0</v>
      </c>
      <c r="G90" s="59" t="s">
        <v>206</v>
      </c>
      <c r="H90" s="63">
        <f t="shared" ref="H90:R90" si="22">H89/H33</f>
        <v>-0.150909499214013</v>
      </c>
      <c r="I90" s="64">
        <f t="shared" si="22"/>
        <v>5.1384839650145779E-2</v>
      </c>
      <c r="J90" s="64">
        <f t="shared" si="22"/>
        <v>0.77219406227371468</v>
      </c>
      <c r="K90" s="64">
        <f t="shared" si="22"/>
        <v>0.81868435997153355</v>
      </c>
      <c r="L90" s="64">
        <f t="shared" si="22"/>
        <v>0.41155537650653018</v>
      </c>
      <c r="M90" s="64">
        <f t="shared" si="22"/>
        <v>0.25</v>
      </c>
      <c r="N90" s="64">
        <f t="shared" si="22"/>
        <v>9.0909090909090912E-2</v>
      </c>
      <c r="O90" s="64">
        <f t="shared" si="22"/>
        <v>0.18181818181818182</v>
      </c>
      <c r="P90" s="64">
        <f t="shared" si="22"/>
        <v>0.18181818181818182</v>
      </c>
      <c r="Q90" s="64">
        <f t="shared" si="22"/>
        <v>0.18181818181818182</v>
      </c>
      <c r="R90" s="64">
        <f t="shared" si="22"/>
        <v>0.18181818181818182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60"/>
      <c r="G91" s="18" t="s">
        <v>210</v>
      </c>
      <c r="H91" s="65">
        <f t="shared" ref="H91:R91" si="23">-H33/(H38+H41)</f>
        <v>0.18648184597344949</v>
      </c>
      <c r="I91" s="65">
        <f t="shared" si="23"/>
        <v>0.19156325811124492</v>
      </c>
      <c r="J91" s="65">
        <f t="shared" si="23"/>
        <v>0.77293666853231147</v>
      </c>
      <c r="K91" s="65">
        <f t="shared" si="23"/>
        <v>1.083090027172432</v>
      </c>
      <c r="L91" s="65">
        <f t="shared" si="23"/>
        <v>0.22563174160707794</v>
      </c>
      <c r="M91" s="65">
        <f t="shared" si="23"/>
        <v>0.19047619047619047</v>
      </c>
      <c r="N91" s="65">
        <f t="shared" si="23"/>
        <v>0.171875</v>
      </c>
      <c r="O91" s="65">
        <f t="shared" si="23"/>
        <v>0.24444444444444444</v>
      </c>
      <c r="P91" s="65">
        <f t="shared" si="23"/>
        <v>0.88</v>
      </c>
      <c r="Q91" s="65">
        <f t="shared" si="23"/>
        <v>1.2222222222222223</v>
      </c>
      <c r="R91" s="65">
        <f t="shared" si="23"/>
        <v>1.2222222222222223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60"/>
      <c r="G92" s="14" t="s">
        <v>214</v>
      </c>
      <c r="H92" s="61">
        <f>H46</f>
        <v>-97.13</v>
      </c>
      <c r="I92" s="61">
        <f t="shared" ref="I92:R92" si="24">I46</f>
        <v>-92.641999999999996</v>
      </c>
      <c r="J92" s="61">
        <f t="shared" si="24"/>
        <v>-26.370000000000005</v>
      </c>
      <c r="K92" s="61">
        <f t="shared" si="24"/>
        <v>10.671999999999997</v>
      </c>
      <c r="L92" s="61">
        <f t="shared" si="24"/>
        <v>-102.22899999999998</v>
      </c>
      <c r="M92" s="61">
        <f t="shared" si="24"/>
        <v>-119</v>
      </c>
      <c r="N92" s="61">
        <f t="shared" si="24"/>
        <v>-106</v>
      </c>
      <c r="O92" s="61">
        <f t="shared" si="24"/>
        <v>-68</v>
      </c>
      <c r="P92" s="61">
        <f t="shared" si="24"/>
        <v>-3</v>
      </c>
      <c r="Q92" s="61">
        <f t="shared" si="24"/>
        <v>4</v>
      </c>
      <c r="R92" s="61">
        <f t="shared" si="24"/>
        <v>4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62">
        <v>-0.3</v>
      </c>
      <c r="E93" s="62">
        <v>0</v>
      </c>
      <c r="G93" s="18" t="s">
        <v>218</v>
      </c>
      <c r="H93" s="66">
        <f>H46/H33</f>
        <v>-4.3624522793622278</v>
      </c>
      <c r="I93" s="67">
        <f t="shared" ref="I93:R93" si="25">I46/I33</f>
        <v>-4.2202077259475219</v>
      </c>
      <c r="J93" s="67">
        <f t="shared" si="25"/>
        <v>-0.29376705843034595</v>
      </c>
      <c r="K93" s="67">
        <f t="shared" si="25"/>
        <v>7.6715716226610386E-2</v>
      </c>
      <c r="L93" s="67">
        <f t="shared" si="25"/>
        <v>-3.432000537147077</v>
      </c>
      <c r="M93" s="67">
        <f t="shared" si="25"/>
        <v>-4.25</v>
      </c>
      <c r="N93" s="67">
        <f t="shared" si="25"/>
        <v>-4.8181818181818183</v>
      </c>
      <c r="O93" s="67">
        <f t="shared" si="25"/>
        <v>-3.0909090909090908</v>
      </c>
      <c r="P93" s="67">
        <f t="shared" si="25"/>
        <v>-0.13636363636363635</v>
      </c>
      <c r="Q93" s="67">
        <f t="shared" si="25"/>
        <v>0.18181818181818182</v>
      </c>
      <c r="R93" s="67">
        <f t="shared" si="25"/>
        <v>0.18181818181818182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60"/>
      <c r="G94" s="59" t="s">
        <v>222</v>
      </c>
      <c r="H94" s="61">
        <f>H29+H30</f>
        <v>518.423</v>
      </c>
      <c r="I94" s="61">
        <f t="shared" ref="I94:R94" si="26">I29+I30</f>
        <v>425.78300000000002</v>
      </c>
      <c r="J94" s="61">
        <f t="shared" si="26"/>
        <v>399.41399999999999</v>
      </c>
      <c r="K94" s="61">
        <f t="shared" si="26"/>
        <v>410.08600000000001</v>
      </c>
      <c r="L94" s="61">
        <f t="shared" si="26"/>
        <v>307.87</v>
      </c>
      <c r="M94" s="61">
        <f t="shared" si="26"/>
        <v>189</v>
      </c>
      <c r="N94" s="61">
        <f t="shared" si="26"/>
        <v>83</v>
      </c>
      <c r="O94" s="61">
        <f t="shared" si="26"/>
        <v>15</v>
      </c>
      <c r="P94" s="61">
        <f t="shared" si="26"/>
        <v>12</v>
      </c>
      <c r="Q94" s="61">
        <f t="shared" si="26"/>
        <v>16</v>
      </c>
      <c r="R94" s="61">
        <f t="shared" si="26"/>
        <v>12</v>
      </c>
    </row>
    <row r="95" spans="1:18" x14ac:dyDescent="0.2">
      <c r="G95" s="68" t="s">
        <v>223</v>
      </c>
      <c r="H95" s="41">
        <f t="shared" ref="H95:R95" si="27">H87</f>
        <v>2011</v>
      </c>
      <c r="I95" s="41">
        <f t="shared" si="27"/>
        <v>2012</v>
      </c>
      <c r="J95" s="41">
        <f t="shared" si="27"/>
        <v>2013</v>
      </c>
      <c r="K95" s="41">
        <f t="shared" si="27"/>
        <v>2014</v>
      </c>
      <c r="L95" s="41">
        <f t="shared" si="27"/>
        <v>2015</v>
      </c>
      <c r="M95" s="41">
        <f t="shared" si="27"/>
        <v>2016</v>
      </c>
      <c r="N95" s="41">
        <f t="shared" si="27"/>
        <v>2017</v>
      </c>
      <c r="O95" s="41">
        <f t="shared" si="27"/>
        <v>2018</v>
      </c>
      <c r="P95" s="41">
        <f t="shared" si="27"/>
        <v>2019</v>
      </c>
      <c r="Q95" s="41">
        <f t="shared" si="27"/>
        <v>2020</v>
      </c>
      <c r="R95" s="41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60"/>
      <c r="F96" s="69"/>
      <c r="G96" s="14" t="s">
        <v>227</v>
      </c>
      <c r="H96" s="61">
        <f t="shared" ref="H96:R96" si="28">H6+H12</f>
        <v>1.6879999999999999</v>
      </c>
      <c r="I96" s="15">
        <f t="shared" si="28"/>
        <v>3.25</v>
      </c>
      <c r="J96" s="15">
        <f t="shared" si="28"/>
        <v>25.004000000000001</v>
      </c>
      <c r="K96" s="15">
        <f t="shared" si="28"/>
        <v>11.433</v>
      </c>
      <c r="L96" s="15">
        <f t="shared" si="28"/>
        <v>10.436999999999999</v>
      </c>
      <c r="M96" s="15">
        <f t="shared" si="28"/>
        <v>4</v>
      </c>
      <c r="N96" s="15">
        <f t="shared" si="28"/>
        <v>4</v>
      </c>
      <c r="O96" s="15">
        <f t="shared" si="28"/>
        <v>4</v>
      </c>
      <c r="P96" s="15">
        <f t="shared" si="28"/>
        <v>4</v>
      </c>
      <c r="Q96" s="15">
        <f t="shared" si="28"/>
        <v>4</v>
      </c>
      <c r="R96" s="15">
        <f t="shared" si="28"/>
        <v>4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60"/>
      <c r="F97" s="69"/>
      <c r="G97" s="18" t="s">
        <v>230</v>
      </c>
      <c r="H97" s="61">
        <f>H19</f>
        <v>2.258</v>
      </c>
      <c r="I97" s="61">
        <f t="shared" ref="I97:R97" si="29">I19</f>
        <v>2.1840000000000002</v>
      </c>
      <c r="J97" s="61">
        <f t="shared" si="29"/>
        <v>132.63</v>
      </c>
      <c r="K97" s="61">
        <f t="shared" si="29"/>
        <v>14.276</v>
      </c>
      <c r="L97" s="61">
        <f t="shared" si="29"/>
        <v>6.7220000000000004</v>
      </c>
      <c r="M97" s="61">
        <f t="shared" si="29"/>
        <v>0</v>
      </c>
      <c r="N97" s="61">
        <f t="shared" si="29"/>
        <v>0</v>
      </c>
      <c r="O97" s="61">
        <f t="shared" si="29"/>
        <v>0</v>
      </c>
      <c r="P97" s="61">
        <f t="shared" si="29"/>
        <v>0</v>
      </c>
      <c r="Q97" s="61">
        <f t="shared" si="29"/>
        <v>0</v>
      </c>
      <c r="R97" s="61">
        <f t="shared" si="29"/>
        <v>0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60"/>
      <c r="F98" s="69"/>
      <c r="G98" s="18" t="s">
        <v>234</v>
      </c>
      <c r="H98" s="61">
        <f t="shared" ref="H98:R98" si="30">H97-H96</f>
        <v>0.57000000000000006</v>
      </c>
      <c r="I98" s="15">
        <f t="shared" si="30"/>
        <v>-1.0659999999999998</v>
      </c>
      <c r="J98" s="15">
        <f t="shared" si="30"/>
        <v>107.62599999999999</v>
      </c>
      <c r="K98" s="15">
        <f t="shared" si="30"/>
        <v>2.843</v>
      </c>
      <c r="L98" s="15">
        <f t="shared" si="30"/>
        <v>-3.714999999999999</v>
      </c>
      <c r="M98" s="15">
        <f t="shared" si="30"/>
        <v>-4</v>
      </c>
      <c r="N98" s="15">
        <f t="shared" si="30"/>
        <v>-4</v>
      </c>
      <c r="O98" s="15">
        <f t="shared" si="30"/>
        <v>-4</v>
      </c>
      <c r="P98" s="15">
        <f t="shared" si="30"/>
        <v>-4</v>
      </c>
      <c r="Q98" s="15">
        <f t="shared" si="30"/>
        <v>-4</v>
      </c>
      <c r="R98" s="15">
        <f t="shared" si="30"/>
        <v>-4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62">
        <v>0.4</v>
      </c>
      <c r="F99" s="69"/>
      <c r="G99" s="18" t="s">
        <v>238</v>
      </c>
      <c r="H99" s="70">
        <f t="shared" ref="H99:R99" si="31">H98/H33</f>
        <v>2.5600718616662927E-2</v>
      </c>
      <c r="I99" s="64">
        <f t="shared" si="31"/>
        <v>-4.8560495626822152E-2</v>
      </c>
      <c r="J99" s="64">
        <f t="shared" si="31"/>
        <v>1.1989751016543195</v>
      </c>
      <c r="K99" s="64">
        <f t="shared" si="31"/>
        <v>2.0436917281882815E-2</v>
      </c>
      <c r="L99" s="64">
        <f t="shared" si="31"/>
        <v>-0.12471883707657699</v>
      </c>
      <c r="M99" s="64">
        <f t="shared" si="31"/>
        <v>-0.14285714285714285</v>
      </c>
      <c r="N99" s="64">
        <f t="shared" si="31"/>
        <v>-0.18181818181818182</v>
      </c>
      <c r="O99" s="64">
        <f t="shared" si="31"/>
        <v>-0.18181818181818182</v>
      </c>
      <c r="P99" s="64">
        <f t="shared" si="31"/>
        <v>-0.18181818181818182</v>
      </c>
      <c r="Q99" s="64">
        <f t="shared" si="31"/>
        <v>-0.18181818181818182</v>
      </c>
      <c r="R99" s="64">
        <f t="shared" si="31"/>
        <v>-0.18181818181818182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71">
        <v>0</v>
      </c>
      <c r="E100" s="71">
        <v>5</v>
      </c>
      <c r="F100" s="69"/>
      <c r="G100" s="18" t="s">
        <v>242</v>
      </c>
      <c r="H100" s="65">
        <f t="shared" ref="H100:R100" si="32">H98/H89</f>
        <v>-0.16964285714285718</v>
      </c>
      <c r="I100" s="65">
        <f t="shared" si="32"/>
        <v>-0.94503546099290758</v>
      </c>
      <c r="J100" s="65">
        <f t="shared" si="32"/>
        <v>1.552686248485198</v>
      </c>
      <c r="K100" s="65">
        <f t="shared" si="32"/>
        <v>2.4963121663388595E-2</v>
      </c>
      <c r="L100" s="65">
        <f t="shared" si="32"/>
        <v>-0.30304266253364831</v>
      </c>
      <c r="M100" s="65">
        <f t="shared" si="32"/>
        <v>-0.5714285714285714</v>
      </c>
      <c r="N100" s="65">
        <f t="shared" si="32"/>
        <v>-2</v>
      </c>
      <c r="O100" s="65">
        <f t="shared" si="32"/>
        <v>-1</v>
      </c>
      <c r="P100" s="65">
        <f t="shared" si="32"/>
        <v>-1</v>
      </c>
      <c r="Q100" s="65">
        <f t="shared" si="32"/>
        <v>-1</v>
      </c>
      <c r="R100" s="65">
        <f t="shared" si="32"/>
        <v>-1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60"/>
      <c r="F101" s="69"/>
      <c r="G101" s="18" t="s">
        <v>246</v>
      </c>
      <c r="H101" s="61">
        <f t="shared" ref="H101:R101" si="33">-(H75+H77+H78+H79+H80+H81)</f>
        <v>0</v>
      </c>
      <c r="I101" s="61">
        <f t="shared" si="33"/>
        <v>3.9E-2</v>
      </c>
      <c r="J101" s="61">
        <f t="shared" si="33"/>
        <v>0</v>
      </c>
      <c r="K101" s="61">
        <f t="shared" si="33"/>
        <v>0</v>
      </c>
      <c r="L101" s="61">
        <f t="shared" si="33"/>
        <v>0</v>
      </c>
      <c r="M101" s="61">
        <f t="shared" si="33"/>
        <v>0</v>
      </c>
      <c r="N101" s="61">
        <f t="shared" si="33"/>
        <v>0</v>
      </c>
      <c r="O101" s="61">
        <f t="shared" si="33"/>
        <v>0</v>
      </c>
      <c r="P101" s="61">
        <f t="shared" si="33"/>
        <v>0</v>
      </c>
      <c r="Q101" s="61">
        <f t="shared" si="33"/>
        <v>0</v>
      </c>
      <c r="R101" s="61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71">
        <v>1.2</v>
      </c>
      <c r="F102" s="69"/>
      <c r="G102" s="18" t="s">
        <v>250</v>
      </c>
      <c r="H102" s="72" t="e">
        <f t="shared" ref="H102:R102" si="34">H89/H101</f>
        <v>#DIV/0!</v>
      </c>
      <c r="I102" s="65">
        <f t="shared" si="34"/>
        <v>28.923076923076927</v>
      </c>
      <c r="J102" s="65" t="e">
        <f t="shared" si="34"/>
        <v>#DIV/0!</v>
      </c>
      <c r="K102" s="65" t="e">
        <f t="shared" si="34"/>
        <v>#DIV/0!</v>
      </c>
      <c r="L102" s="65" t="e">
        <f t="shared" si="34"/>
        <v>#DIV/0!</v>
      </c>
      <c r="M102" s="65" t="e">
        <f t="shared" si="34"/>
        <v>#DIV/0!</v>
      </c>
      <c r="N102" s="65" t="e">
        <f t="shared" si="34"/>
        <v>#DIV/0!</v>
      </c>
      <c r="O102" s="65" t="e">
        <f t="shared" si="34"/>
        <v>#DIV/0!</v>
      </c>
      <c r="P102" s="65" t="e">
        <f t="shared" si="34"/>
        <v>#DIV/0!</v>
      </c>
      <c r="Q102" s="65" t="e">
        <f t="shared" si="34"/>
        <v>#DIV/0!</v>
      </c>
      <c r="R102" s="65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71">
        <v>0</v>
      </c>
      <c r="F103" s="69"/>
      <c r="G103" s="14" t="s">
        <v>254</v>
      </c>
      <c r="H103" s="61">
        <f t="shared" ref="H103:R103" si="35">H5-H20</f>
        <v>2.6879999999999997</v>
      </c>
      <c r="I103" s="61">
        <f t="shared" si="35"/>
        <v>3.8179999999999996</v>
      </c>
      <c r="J103" s="61">
        <f t="shared" si="35"/>
        <v>-100.52699999999999</v>
      </c>
      <c r="K103" s="61">
        <f t="shared" si="35"/>
        <v>0.64400000000000013</v>
      </c>
      <c r="L103" s="61">
        <f t="shared" si="35"/>
        <v>5.14</v>
      </c>
      <c r="M103" s="61">
        <f t="shared" si="35"/>
        <v>6</v>
      </c>
      <c r="N103" s="61">
        <f t="shared" si="35"/>
        <v>6</v>
      </c>
      <c r="O103" s="61">
        <f t="shared" si="35"/>
        <v>6</v>
      </c>
      <c r="P103" s="61">
        <f t="shared" si="35"/>
        <v>6</v>
      </c>
      <c r="Q103" s="61">
        <f t="shared" si="35"/>
        <v>6</v>
      </c>
      <c r="R103" s="61">
        <f t="shared" si="35"/>
        <v>6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71">
        <v>1</v>
      </c>
      <c r="F104" s="69"/>
      <c r="G104" s="18" t="s">
        <v>258</v>
      </c>
      <c r="H104" s="72">
        <f t="shared" ref="H104:R104" si="36">H5/H20</f>
        <v>2.1904340124003543</v>
      </c>
      <c r="I104" s="72">
        <f t="shared" si="36"/>
        <v>2.7481684981684977</v>
      </c>
      <c r="J104" s="72">
        <f t="shared" si="36"/>
        <v>0.24204931011083466</v>
      </c>
      <c r="K104" s="72">
        <f t="shared" si="36"/>
        <v>1.0451106752591763</v>
      </c>
      <c r="L104" s="72">
        <f t="shared" si="36"/>
        <v>1.7646533769711394</v>
      </c>
      <c r="M104" s="72" t="e">
        <f t="shared" si="36"/>
        <v>#DIV/0!</v>
      </c>
      <c r="N104" s="72" t="e">
        <f t="shared" si="36"/>
        <v>#DIV/0!</v>
      </c>
      <c r="O104" s="72" t="e">
        <f t="shared" si="36"/>
        <v>#DIV/0!</v>
      </c>
      <c r="P104" s="72" t="e">
        <f t="shared" si="36"/>
        <v>#DIV/0!</v>
      </c>
      <c r="Q104" s="72" t="e">
        <f t="shared" si="36"/>
        <v>#DIV/0!</v>
      </c>
      <c r="R104" s="72" t="e">
        <f t="shared" si="36"/>
        <v>#DIV/0!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71">
        <v>1</v>
      </c>
      <c r="F105" s="69"/>
      <c r="G105" s="59" t="s">
        <v>262</v>
      </c>
      <c r="H105" s="72">
        <f t="shared" ref="H105:R105" si="37">-H6/((H38+H41-H45+H47)/12)</f>
        <v>0.79060145974005702</v>
      </c>
      <c r="I105" s="72">
        <f t="shared" si="37"/>
        <v>1.8729289727704945</v>
      </c>
      <c r="J105" s="72">
        <f t="shared" si="37"/>
        <v>14.673708920187796</v>
      </c>
      <c r="K105" s="72">
        <f t="shared" si="37"/>
        <v>5.4393212544106575</v>
      </c>
      <c r="L105" s="72">
        <f t="shared" si="37"/>
        <v>7.1502626170358559</v>
      </c>
      <c r="M105" s="72">
        <f t="shared" si="37"/>
        <v>2.2857142857142856</v>
      </c>
      <c r="N105" s="72">
        <f t="shared" si="37"/>
        <v>2.4</v>
      </c>
      <c r="O105" s="72">
        <f t="shared" si="37"/>
        <v>2.6666666666666665</v>
      </c>
      <c r="P105" s="72">
        <f t="shared" si="37"/>
        <v>2.6666666666666665</v>
      </c>
      <c r="Q105" s="72">
        <f t="shared" si="37"/>
        <v>2.6666666666666665</v>
      </c>
      <c r="R105" s="72">
        <f t="shared" si="37"/>
        <v>2.6666666666666665</v>
      </c>
    </row>
    <row r="106" spans="1:18" x14ac:dyDescent="0.2">
      <c r="C106" s="16"/>
      <c r="F106" s="69"/>
      <c r="G106" s="68" t="s">
        <v>263</v>
      </c>
      <c r="H106" s="41">
        <f t="shared" ref="H106:R106" si="38">H95</f>
        <v>2011</v>
      </c>
      <c r="I106" s="41">
        <f t="shared" si="38"/>
        <v>2012</v>
      </c>
      <c r="J106" s="41">
        <f t="shared" si="38"/>
        <v>2013</v>
      </c>
      <c r="K106" s="41">
        <f t="shared" si="38"/>
        <v>2014</v>
      </c>
      <c r="L106" s="41">
        <f t="shared" si="38"/>
        <v>2015</v>
      </c>
      <c r="M106" s="41">
        <f t="shared" si="38"/>
        <v>2016</v>
      </c>
      <c r="N106" s="41">
        <f t="shared" si="38"/>
        <v>2017</v>
      </c>
      <c r="O106" s="41">
        <f t="shared" si="38"/>
        <v>2018</v>
      </c>
      <c r="P106" s="41">
        <f t="shared" si="38"/>
        <v>2019</v>
      </c>
      <c r="Q106" s="41">
        <f t="shared" si="38"/>
        <v>2020</v>
      </c>
      <c r="R106" s="41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62">
        <v>0.6</v>
      </c>
      <c r="F107" s="69"/>
      <c r="G107" s="14" t="s">
        <v>267</v>
      </c>
      <c r="H107" s="70">
        <f t="shared" ref="H107:R107" si="39">H17/H4</f>
        <v>0</v>
      </c>
      <c r="I107" s="70">
        <f t="shared" si="39"/>
        <v>0</v>
      </c>
      <c r="J107" s="70">
        <f t="shared" si="39"/>
        <v>0</v>
      </c>
      <c r="K107" s="70">
        <f t="shared" si="39"/>
        <v>0</v>
      </c>
      <c r="L107" s="70">
        <f t="shared" si="39"/>
        <v>0</v>
      </c>
      <c r="M107" s="70">
        <f t="shared" si="39"/>
        <v>0</v>
      </c>
      <c r="N107" s="70">
        <f t="shared" si="39"/>
        <v>0</v>
      </c>
      <c r="O107" s="70">
        <f t="shared" si="39"/>
        <v>0</v>
      </c>
      <c r="P107" s="70">
        <f t="shared" si="39"/>
        <v>0</v>
      </c>
      <c r="Q107" s="70">
        <f t="shared" si="39"/>
        <v>0</v>
      </c>
      <c r="R107" s="70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62">
        <v>0.4</v>
      </c>
      <c r="F108" s="69"/>
      <c r="G108" s="59" t="s">
        <v>271</v>
      </c>
      <c r="H108" s="70" t="e">
        <f t="shared" ref="H108:R108" si="40">H27/H17</f>
        <v>#DIV/0!</v>
      </c>
      <c r="I108" s="70" t="e">
        <f t="shared" si="40"/>
        <v>#DIV/0!</v>
      </c>
      <c r="J108" s="70" t="e">
        <f t="shared" si="40"/>
        <v>#DIV/0!</v>
      </c>
      <c r="K108" s="70" t="e">
        <f t="shared" si="40"/>
        <v>#DIV/0!</v>
      </c>
      <c r="L108" s="70" t="e">
        <f t="shared" si="40"/>
        <v>#DIV/0!</v>
      </c>
      <c r="M108" s="70" t="e">
        <f t="shared" si="40"/>
        <v>#DIV/0!</v>
      </c>
      <c r="N108" s="70" t="e">
        <f t="shared" si="40"/>
        <v>#DIV/0!</v>
      </c>
      <c r="O108" s="70" t="e">
        <f t="shared" si="40"/>
        <v>#DIV/0!</v>
      </c>
      <c r="P108" s="70" t="e">
        <f t="shared" si="40"/>
        <v>#DIV/0!</v>
      </c>
      <c r="Q108" s="70" t="e">
        <f t="shared" si="40"/>
        <v>#DIV/0!</v>
      </c>
      <c r="R108" s="70" t="e">
        <f t="shared" si="40"/>
        <v>#DIV/0!</v>
      </c>
    </row>
    <row r="109" spans="1:18" x14ac:dyDescent="0.2">
      <c r="C109" s="16"/>
      <c r="F109" s="69"/>
      <c r="G109" s="74" t="s">
        <v>272</v>
      </c>
      <c r="H109" s="41">
        <f t="shared" ref="H109:R109" si="41">H95</f>
        <v>2011</v>
      </c>
      <c r="I109" s="41">
        <f t="shared" si="41"/>
        <v>2012</v>
      </c>
      <c r="J109" s="41">
        <f t="shared" si="41"/>
        <v>2013</v>
      </c>
      <c r="K109" s="41">
        <f t="shared" si="41"/>
        <v>2014</v>
      </c>
      <c r="L109" s="41">
        <f t="shared" si="41"/>
        <v>2015</v>
      </c>
      <c r="M109" s="41">
        <f t="shared" si="41"/>
        <v>2016</v>
      </c>
      <c r="N109" s="41">
        <f t="shared" si="41"/>
        <v>2017</v>
      </c>
      <c r="O109" s="41">
        <f t="shared" si="41"/>
        <v>2018</v>
      </c>
      <c r="P109" s="41">
        <f t="shared" si="41"/>
        <v>2019</v>
      </c>
      <c r="Q109" s="41">
        <f t="shared" si="41"/>
        <v>2020</v>
      </c>
      <c r="R109" s="41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60"/>
      <c r="F110" s="69"/>
      <c r="G110" s="18" t="s">
        <v>276</v>
      </c>
      <c r="H110" s="76">
        <f t="shared" ref="H110:R110" si="42">H10/H4</f>
        <v>0.99050090170373029</v>
      </c>
      <c r="I110" s="76">
        <f t="shared" si="42"/>
        <v>0.98597555418992588</v>
      </c>
      <c r="J110" s="76">
        <f t="shared" si="42"/>
        <v>0.93966111889031956</v>
      </c>
      <c r="K110" s="76">
        <f t="shared" si="42"/>
        <v>0.9648412554405329</v>
      </c>
      <c r="L110" s="76">
        <f t="shared" si="42"/>
        <v>0.96229401891974364</v>
      </c>
      <c r="M110" s="76">
        <f t="shared" si="42"/>
        <v>0.96825396825396826</v>
      </c>
      <c r="N110" s="76">
        <f t="shared" si="42"/>
        <v>0.92771084337349397</v>
      </c>
      <c r="O110" s="76">
        <f t="shared" si="42"/>
        <v>0.6</v>
      </c>
      <c r="P110" s="76">
        <f t="shared" si="42"/>
        <v>0.5</v>
      </c>
      <c r="Q110" s="76">
        <f t="shared" si="42"/>
        <v>0.625</v>
      </c>
      <c r="R110" s="76">
        <f t="shared" si="42"/>
        <v>0.5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60"/>
      <c r="F111" s="69"/>
      <c r="G111" s="18" t="s">
        <v>280</v>
      </c>
      <c r="H111" s="76">
        <f t="shared" ref="H111:R111" si="43">-(H58)/H15</f>
        <v>0</v>
      </c>
      <c r="I111" s="76">
        <f t="shared" si="43"/>
        <v>0</v>
      </c>
      <c r="J111" s="76">
        <f t="shared" si="43"/>
        <v>0.36037610164954315</v>
      </c>
      <c r="K111" s="76">
        <f t="shared" si="43"/>
        <v>3.2066735931085263E-2</v>
      </c>
      <c r="L111" s="76">
        <f t="shared" si="43"/>
        <v>2.6359858166606777E-2</v>
      </c>
      <c r="M111" s="76">
        <f t="shared" si="43"/>
        <v>2.7322404371584699E-2</v>
      </c>
      <c r="N111" s="76">
        <f t="shared" si="43"/>
        <v>0</v>
      </c>
      <c r="O111" s="76">
        <f t="shared" si="43"/>
        <v>0</v>
      </c>
      <c r="P111" s="76">
        <f t="shared" si="43"/>
        <v>0</v>
      </c>
      <c r="Q111" s="76">
        <f t="shared" si="43"/>
        <v>0</v>
      </c>
      <c r="R111" s="76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60"/>
      <c r="F112" s="69"/>
      <c r="G112" s="14" t="s">
        <v>284</v>
      </c>
      <c r="H112" s="65">
        <f t="shared" ref="H112:R112" si="44">H33/H4</f>
        <v>4.2761306827020763E-2</v>
      </c>
      <c r="I112" s="65">
        <f t="shared" si="44"/>
        <v>5.1293674512287155E-2</v>
      </c>
      <c r="J112" s="65">
        <f t="shared" si="44"/>
        <v>0.16871693183847233</v>
      </c>
      <c r="K112" s="65">
        <f t="shared" si="44"/>
        <v>0.32781287630107381</v>
      </c>
      <c r="L112" s="65">
        <f t="shared" si="44"/>
        <v>9.4684543790051867E-2</v>
      </c>
      <c r="M112" s="65">
        <f t="shared" si="44"/>
        <v>0.14814814814814814</v>
      </c>
      <c r="N112" s="65">
        <f t="shared" si="44"/>
        <v>0.26506024096385544</v>
      </c>
      <c r="O112" s="65">
        <f t="shared" si="44"/>
        <v>1.4666666666666666</v>
      </c>
      <c r="P112" s="65">
        <f t="shared" si="44"/>
        <v>1.8333333333333333</v>
      </c>
      <c r="Q112" s="65">
        <f t="shared" si="44"/>
        <v>1.375</v>
      </c>
      <c r="R112" s="65">
        <f t="shared" si="44"/>
        <v>1.8333333333333333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60"/>
      <c r="F113" s="69"/>
      <c r="G113" s="59" t="s">
        <v>288</v>
      </c>
      <c r="H113" s="65">
        <f t="shared" ref="H113:R113" si="45">H33/H15</f>
        <v>4.5683977265732402E-2</v>
      </c>
      <c r="I113" s="65">
        <f t="shared" si="45"/>
        <v>5.5051071203765699E-2</v>
      </c>
      <c r="J113" s="65">
        <f t="shared" si="45"/>
        <v>0.18627656461730971</v>
      </c>
      <c r="K113" s="65">
        <f t="shared" si="45"/>
        <v>0.35080494668993412</v>
      </c>
      <c r="L113" s="65">
        <f t="shared" si="45"/>
        <v>0.10097493508342541</v>
      </c>
      <c r="M113" s="65">
        <f t="shared" si="45"/>
        <v>0.15300546448087432</v>
      </c>
      <c r="N113" s="65">
        <f t="shared" si="45"/>
        <v>0.2857142857142857</v>
      </c>
      <c r="O113" s="65">
        <f t="shared" si="45"/>
        <v>2.4444444444444446</v>
      </c>
      <c r="P113" s="65">
        <f t="shared" si="45"/>
        <v>3.6666666666666665</v>
      </c>
      <c r="Q113" s="65">
        <f t="shared" si="45"/>
        <v>2.2000000000000002</v>
      </c>
      <c r="R113" s="65">
        <f t="shared" si="45"/>
        <v>3.6666666666666665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62">
        <v>0.5</v>
      </c>
      <c r="E114" s="62">
        <f>1/3</f>
        <v>0.33333333333333331</v>
      </c>
      <c r="F114" s="69"/>
      <c r="G114" s="18" t="s">
        <v>292</v>
      </c>
      <c r="H114" s="76">
        <f t="shared" ref="H114:R114" si="46">H27/H4</f>
        <v>0.99566337162293217</v>
      </c>
      <c r="I114" s="76">
        <f t="shared" si="46"/>
        <v>0.99489680279086934</v>
      </c>
      <c r="J114" s="76">
        <f t="shared" si="46"/>
        <v>0.75071469518555767</v>
      </c>
      <c r="K114" s="76">
        <f t="shared" si="46"/>
        <v>0.96636118776230606</v>
      </c>
      <c r="L114" s="76">
        <f t="shared" si="46"/>
        <v>0.97863264164377972</v>
      </c>
      <c r="M114" s="76">
        <f t="shared" si="46"/>
        <v>1</v>
      </c>
      <c r="N114" s="76">
        <f t="shared" si="46"/>
        <v>1</v>
      </c>
      <c r="O114" s="76">
        <f t="shared" si="46"/>
        <v>1</v>
      </c>
      <c r="P114" s="76">
        <f t="shared" si="46"/>
        <v>1</v>
      </c>
      <c r="Q114" s="76">
        <f t="shared" si="46"/>
        <v>1</v>
      </c>
      <c r="R114" s="76">
        <f t="shared" si="46"/>
        <v>1</v>
      </c>
    </row>
    <row r="115" spans="1:19" x14ac:dyDescent="0.2">
      <c r="A115" s="77"/>
      <c r="C115" s="77"/>
      <c r="D115" s="78"/>
      <c r="E115" s="79"/>
      <c r="F115" s="69"/>
      <c r="G115" s="11" t="s">
        <v>293</v>
      </c>
      <c r="H115" s="41">
        <f t="shared" ref="H115:R115" si="47">H109</f>
        <v>2011</v>
      </c>
      <c r="I115" s="41">
        <f t="shared" si="47"/>
        <v>2012</v>
      </c>
      <c r="J115" s="41">
        <f t="shared" si="47"/>
        <v>2013</v>
      </c>
      <c r="K115" s="41">
        <f t="shared" si="47"/>
        <v>2014</v>
      </c>
      <c r="L115" s="41">
        <f t="shared" si="47"/>
        <v>2015</v>
      </c>
      <c r="M115" s="41">
        <f t="shared" si="47"/>
        <v>2016</v>
      </c>
      <c r="N115" s="41">
        <f t="shared" si="47"/>
        <v>2017</v>
      </c>
      <c r="O115" s="41">
        <f t="shared" si="47"/>
        <v>2018</v>
      </c>
      <c r="P115" s="41">
        <f t="shared" si="47"/>
        <v>2019</v>
      </c>
      <c r="Q115" s="41">
        <f t="shared" si="47"/>
        <v>2020</v>
      </c>
      <c r="R115" s="41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62">
        <v>0.05</v>
      </c>
      <c r="G116" s="14" t="s">
        <v>297</v>
      </c>
      <c r="H116" s="64">
        <f t="shared" ref="H116:R116" si="48">H35/H33</f>
        <v>0.71295755670334604</v>
      </c>
      <c r="I116" s="64">
        <f t="shared" si="48"/>
        <v>0.67939139941690962</v>
      </c>
      <c r="J116" s="64">
        <f t="shared" si="48"/>
        <v>0.16118754525706008</v>
      </c>
      <c r="K116" s="64">
        <f t="shared" si="48"/>
        <v>9.1128667035676555E-2</v>
      </c>
      <c r="L116" s="64">
        <f t="shared" si="48"/>
        <v>0.46486722395675967</v>
      </c>
      <c r="M116" s="64">
        <f t="shared" si="48"/>
        <v>0.5</v>
      </c>
      <c r="N116" s="64">
        <f t="shared" si="48"/>
        <v>0.63636363636363635</v>
      </c>
      <c r="O116" s="64">
        <f t="shared" si="48"/>
        <v>0.63636363636363635</v>
      </c>
      <c r="P116" s="64">
        <f t="shared" si="48"/>
        <v>0.63636363636363635</v>
      </c>
      <c r="Q116" s="64">
        <f t="shared" si="48"/>
        <v>0.63636363636363635</v>
      </c>
      <c r="R116" s="64">
        <f t="shared" si="48"/>
        <v>0.63636363636363635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62">
        <v>0.95</v>
      </c>
      <c r="G117" s="18" t="s">
        <v>301</v>
      </c>
      <c r="H117" s="76">
        <f t="shared" ref="H117:R117" si="49">(H36+H34)/H33</f>
        <v>0.28704244329665396</v>
      </c>
      <c r="I117" s="76">
        <f t="shared" si="49"/>
        <v>0.32060860058309043</v>
      </c>
      <c r="J117" s="76">
        <f t="shared" si="49"/>
        <v>0.83881245474293997</v>
      </c>
      <c r="K117" s="76">
        <f t="shared" si="49"/>
        <v>0.90887133296432354</v>
      </c>
      <c r="L117" s="76">
        <f t="shared" si="49"/>
        <v>0.53513277604324039</v>
      </c>
      <c r="M117" s="76">
        <f t="shared" si="49"/>
        <v>0.5</v>
      </c>
      <c r="N117" s="76">
        <f t="shared" si="49"/>
        <v>0.36363636363636365</v>
      </c>
      <c r="O117" s="76">
        <f t="shared" si="49"/>
        <v>0.36363636363636365</v>
      </c>
      <c r="P117" s="76">
        <f t="shared" si="49"/>
        <v>0.36363636363636365</v>
      </c>
      <c r="Q117" s="76">
        <f t="shared" si="49"/>
        <v>0.36363636363636365</v>
      </c>
      <c r="R117" s="76">
        <f t="shared" si="49"/>
        <v>0.36363636363636365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62">
        <v>0.95</v>
      </c>
      <c r="G118" s="59" t="s">
        <v>305</v>
      </c>
      <c r="H118" s="64">
        <f t="shared" ref="H118:R118" si="50">H38/(H38+H41)</f>
        <v>0</v>
      </c>
      <c r="I118" s="64">
        <f t="shared" si="50"/>
        <v>0</v>
      </c>
      <c r="J118" s="64">
        <f t="shared" si="50"/>
        <v>0</v>
      </c>
      <c r="K118" s="64">
        <f t="shared" si="50"/>
        <v>0</v>
      </c>
      <c r="L118" s="64">
        <f t="shared" si="50"/>
        <v>0</v>
      </c>
      <c r="M118" s="64">
        <f t="shared" si="50"/>
        <v>0</v>
      </c>
      <c r="N118" s="64">
        <f t="shared" si="50"/>
        <v>0</v>
      </c>
      <c r="O118" s="64">
        <f t="shared" si="50"/>
        <v>0</v>
      </c>
      <c r="P118" s="64">
        <f t="shared" si="50"/>
        <v>0</v>
      </c>
      <c r="Q118" s="64">
        <f t="shared" si="50"/>
        <v>0</v>
      </c>
      <c r="R118" s="64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11" t="s">
        <v>306</v>
      </c>
      <c r="H119" s="41">
        <f>H115</f>
        <v>2011</v>
      </c>
      <c r="I119" s="41">
        <f t="shared" ref="I119:R119" si="51">I115</f>
        <v>2012</v>
      </c>
      <c r="J119" s="41">
        <f t="shared" si="51"/>
        <v>2013</v>
      </c>
      <c r="K119" s="41">
        <f t="shared" si="51"/>
        <v>2014</v>
      </c>
      <c r="L119" s="41">
        <f t="shared" si="51"/>
        <v>2015</v>
      </c>
      <c r="M119" s="41">
        <f t="shared" si="51"/>
        <v>2016</v>
      </c>
      <c r="N119" s="41">
        <f t="shared" si="51"/>
        <v>2017</v>
      </c>
      <c r="O119" s="41">
        <f t="shared" si="51"/>
        <v>2018</v>
      </c>
      <c r="P119" s="41">
        <f t="shared" si="51"/>
        <v>2019</v>
      </c>
      <c r="Q119" s="41">
        <f t="shared" si="51"/>
        <v>2020</v>
      </c>
      <c r="R119" s="41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81">
        <v>0.5</v>
      </c>
      <c r="E120" s="82" t="s">
        <v>310</v>
      </c>
      <c r="F120" s="4"/>
      <c r="G120" s="14" t="s">
        <v>311</v>
      </c>
      <c r="H120" s="65">
        <f t="shared" ref="H120:R120" si="52">IF(H116&lt;$D$120,$E$120,H35/H4)</f>
        <v>3.0486996836834836E-2</v>
      </c>
      <c r="I120" s="65">
        <f t="shared" si="52"/>
        <v>3.4848481308138238E-2</v>
      </c>
      <c r="J120" s="65" t="str">
        <f t="shared" si="52"/>
        <v>N/A</v>
      </c>
      <c r="K120" s="65" t="str">
        <f t="shared" si="52"/>
        <v>N/A</v>
      </c>
      <c r="L120" s="65" t="str">
        <f t="shared" si="52"/>
        <v>N/A</v>
      </c>
      <c r="M120" s="65">
        <f t="shared" si="52"/>
        <v>7.407407407407407E-2</v>
      </c>
      <c r="N120" s="65">
        <f t="shared" si="52"/>
        <v>0.16867469879518071</v>
      </c>
      <c r="O120" s="65">
        <f t="shared" si="52"/>
        <v>0.93333333333333335</v>
      </c>
      <c r="P120" s="65">
        <f t="shared" si="52"/>
        <v>1.1666666666666667</v>
      </c>
      <c r="Q120" s="65">
        <f t="shared" si="52"/>
        <v>0.875</v>
      </c>
      <c r="R120" s="65">
        <f t="shared" si="52"/>
        <v>1.1666666666666667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81">
        <v>0.5</v>
      </c>
      <c r="E121" s="82" t="s">
        <v>310</v>
      </c>
      <c r="F121" s="4"/>
      <c r="G121" s="18" t="s">
        <v>315</v>
      </c>
      <c r="H121" s="65">
        <f t="shared" ref="H121:R121" si="53">IF(H116&lt;$D$121,$E$121,H35/H15)</f>
        <v>3.2570736811867784E-2</v>
      </c>
      <c r="I121" s="65">
        <f t="shared" si="53"/>
        <v>3.7401224304526318E-2</v>
      </c>
      <c r="J121" s="65" t="str">
        <f t="shared" si="53"/>
        <v>N/A</v>
      </c>
      <c r="K121" s="65" t="str">
        <f t="shared" si="53"/>
        <v>N/A</v>
      </c>
      <c r="L121" s="65" t="str">
        <f t="shared" si="53"/>
        <v>N/A</v>
      </c>
      <c r="M121" s="65">
        <f t="shared" si="53"/>
        <v>7.650273224043716E-2</v>
      </c>
      <c r="N121" s="65">
        <f t="shared" si="53"/>
        <v>0.18181818181818182</v>
      </c>
      <c r="O121" s="65">
        <f t="shared" si="53"/>
        <v>1.5555555555555556</v>
      </c>
      <c r="P121" s="65">
        <f t="shared" si="53"/>
        <v>2.3333333333333335</v>
      </c>
      <c r="Q121" s="65">
        <f t="shared" si="53"/>
        <v>1.4</v>
      </c>
      <c r="R121" s="65">
        <f t="shared" si="53"/>
        <v>2.3333333333333335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81">
        <v>0.5</v>
      </c>
      <c r="E122" s="82" t="s">
        <v>310</v>
      </c>
      <c r="F122" s="4"/>
      <c r="G122" s="14" t="s">
        <v>318</v>
      </c>
      <c r="H122" s="76">
        <f t="shared" ref="H122:R122" si="54">IF(H116&lt;$D$122,$E$122,H46/H33)</f>
        <v>-4.3624522793622278</v>
      </c>
      <c r="I122" s="76">
        <f t="shared" si="54"/>
        <v>-4.2202077259475219</v>
      </c>
      <c r="J122" s="76" t="str">
        <f t="shared" si="54"/>
        <v>N/A</v>
      </c>
      <c r="K122" s="76" t="str">
        <f t="shared" si="54"/>
        <v>N/A</v>
      </c>
      <c r="L122" s="76" t="str">
        <f t="shared" si="54"/>
        <v>N/A</v>
      </c>
      <c r="M122" s="76">
        <f t="shared" si="54"/>
        <v>-4.25</v>
      </c>
      <c r="N122" s="76">
        <f t="shared" si="54"/>
        <v>-4.8181818181818183</v>
      </c>
      <c r="O122" s="76">
        <f t="shared" si="54"/>
        <v>-3.0909090909090908</v>
      </c>
      <c r="P122" s="76">
        <f t="shared" si="54"/>
        <v>-0.13636363636363635</v>
      </c>
      <c r="Q122" s="76">
        <f t="shared" si="54"/>
        <v>0.18181818181818182</v>
      </c>
      <c r="R122" s="76">
        <f t="shared" si="54"/>
        <v>0.18181818181818182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81">
        <v>0.5</v>
      </c>
      <c r="E123" s="82" t="s">
        <v>310</v>
      </c>
      <c r="F123" s="4"/>
      <c r="G123" s="18" t="s">
        <v>322</v>
      </c>
      <c r="H123" s="76">
        <f t="shared" ref="H123:R123" si="55">IF(H116&lt;$D$122,$E$123,H51/H33)</f>
        <v>-4.3622726251964963</v>
      </c>
      <c r="I123" s="76">
        <f t="shared" si="55"/>
        <v>-4.220162172011662</v>
      </c>
      <c r="J123" s="76" t="str">
        <f t="shared" si="55"/>
        <v>N/A</v>
      </c>
      <c r="K123" s="76" t="str">
        <f t="shared" si="55"/>
        <v>N/A</v>
      </c>
      <c r="L123" s="76" t="str">
        <f t="shared" si="55"/>
        <v>N/A</v>
      </c>
      <c r="M123" s="76">
        <f t="shared" si="55"/>
        <v>-4.25</v>
      </c>
      <c r="N123" s="76">
        <f t="shared" si="55"/>
        <v>-4.8181818181818183</v>
      </c>
      <c r="O123" s="76">
        <f t="shared" si="55"/>
        <v>-3.0909090909090908</v>
      </c>
      <c r="P123" s="76">
        <f t="shared" si="55"/>
        <v>-0.13636363636363635</v>
      </c>
      <c r="Q123" s="76">
        <f t="shared" si="55"/>
        <v>0.18181818181818182</v>
      </c>
      <c r="R123" s="76">
        <f t="shared" si="55"/>
        <v>0.18181818181818182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81">
        <v>0.5</v>
      </c>
      <c r="E124" s="82" t="s">
        <v>310</v>
      </c>
      <c r="F124" s="4"/>
      <c r="G124" s="18" t="s">
        <v>326</v>
      </c>
      <c r="H124" s="76">
        <f t="shared" ref="H124:R124" si="56">IF(H116&lt;$D$124,$E$124,H51/H4)</f>
        <v>-0.18653647818914074</v>
      </c>
      <c r="I124" s="76">
        <f t="shared" si="56"/>
        <v>-0.21646762484023296</v>
      </c>
      <c r="J124" s="76" t="str">
        <f t="shared" si="56"/>
        <v>N/A</v>
      </c>
      <c r="K124" s="76" t="str">
        <f t="shared" si="56"/>
        <v>N/A</v>
      </c>
      <c r="L124" s="76" t="str">
        <f t="shared" si="56"/>
        <v>N/A</v>
      </c>
      <c r="M124" s="76">
        <f t="shared" si="56"/>
        <v>-0.62962962962962965</v>
      </c>
      <c r="N124" s="76">
        <f t="shared" si="56"/>
        <v>-1.2771084337349397</v>
      </c>
      <c r="O124" s="76">
        <f t="shared" si="56"/>
        <v>-4.5333333333333332</v>
      </c>
      <c r="P124" s="76">
        <f t="shared" si="56"/>
        <v>-0.25</v>
      </c>
      <c r="Q124" s="76">
        <f t="shared" si="56"/>
        <v>0.25</v>
      </c>
      <c r="R124" s="76">
        <f t="shared" si="56"/>
        <v>0.33333333333333331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81">
        <v>0.5</v>
      </c>
      <c r="E125" s="82" t="s">
        <v>310</v>
      </c>
      <c r="F125" s="4"/>
      <c r="G125" s="59" t="s">
        <v>330</v>
      </c>
      <c r="H125" s="76">
        <f t="shared" ref="H125:R125" si="57">IF(H116&lt;$D$125,$E$125,H51/H27)</f>
        <v>-0.18734894092275997</v>
      </c>
      <c r="I125" s="76">
        <f t="shared" si="57"/>
        <v>-0.21757796811991081</v>
      </c>
      <c r="J125" s="76" t="str">
        <f t="shared" si="57"/>
        <v>N/A</v>
      </c>
      <c r="K125" s="76" t="str">
        <f t="shared" si="57"/>
        <v>N/A</v>
      </c>
      <c r="L125" s="76" t="str">
        <f t="shared" si="57"/>
        <v>N/A</v>
      </c>
      <c r="M125" s="76">
        <f t="shared" si="57"/>
        <v>-0.62962962962962965</v>
      </c>
      <c r="N125" s="76">
        <f t="shared" si="57"/>
        <v>-1.2771084337349397</v>
      </c>
      <c r="O125" s="76">
        <f t="shared" si="57"/>
        <v>-4.5333333333333332</v>
      </c>
      <c r="P125" s="76">
        <f t="shared" si="57"/>
        <v>-0.25</v>
      </c>
      <c r="Q125" s="76">
        <f t="shared" si="57"/>
        <v>0.25</v>
      </c>
      <c r="R125" s="76">
        <f t="shared" si="57"/>
        <v>0.33333333333333331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41">
        <f>H119</f>
        <v>2011</v>
      </c>
      <c r="I127" s="41">
        <f t="shared" ref="I127:R127" si="58">I119</f>
        <v>2012</v>
      </c>
      <c r="J127" s="41">
        <f t="shared" si="58"/>
        <v>2013</v>
      </c>
      <c r="K127" s="41">
        <f t="shared" si="58"/>
        <v>2014</v>
      </c>
      <c r="L127" s="41">
        <f t="shared" si="58"/>
        <v>2015</v>
      </c>
      <c r="M127" s="41">
        <f t="shared" si="58"/>
        <v>2016</v>
      </c>
      <c r="N127" s="41">
        <f t="shared" si="58"/>
        <v>2017</v>
      </c>
      <c r="O127" s="41">
        <f t="shared" si="58"/>
        <v>2018</v>
      </c>
      <c r="P127" s="41">
        <f t="shared" si="58"/>
        <v>2019</v>
      </c>
      <c r="Q127" s="41">
        <f t="shared" si="58"/>
        <v>2020</v>
      </c>
      <c r="R127" s="41">
        <f t="shared" si="58"/>
        <v>2021</v>
      </c>
    </row>
    <row r="128" spans="1:19" x14ac:dyDescent="0.2">
      <c r="G128" s="83" t="s">
        <v>331</v>
      </c>
      <c r="H128" s="84">
        <f t="shared" ref="H128:R128" si="59">H33</f>
        <v>22.265000000000001</v>
      </c>
      <c r="I128" s="84">
        <f t="shared" si="59"/>
        <v>21.951999999999998</v>
      </c>
      <c r="J128" s="84">
        <f t="shared" si="59"/>
        <v>89.765000000000001</v>
      </c>
      <c r="K128" s="84">
        <f t="shared" si="59"/>
        <v>139.11099999999999</v>
      </c>
      <c r="L128" s="84">
        <f t="shared" si="59"/>
        <v>29.786999999999999</v>
      </c>
      <c r="M128" s="84">
        <f t="shared" si="59"/>
        <v>28</v>
      </c>
      <c r="N128" s="84">
        <f t="shared" si="59"/>
        <v>22</v>
      </c>
      <c r="O128" s="84">
        <f t="shared" si="59"/>
        <v>22</v>
      </c>
      <c r="P128" s="84">
        <f t="shared" si="59"/>
        <v>22</v>
      </c>
      <c r="Q128" s="84">
        <f t="shared" si="59"/>
        <v>22</v>
      </c>
      <c r="R128" s="84">
        <f t="shared" si="59"/>
        <v>22</v>
      </c>
    </row>
    <row r="129" spans="3:19" x14ac:dyDescent="0.2">
      <c r="G129" s="83" t="s">
        <v>332</v>
      </c>
      <c r="H129" s="84">
        <f t="shared" ref="H129:R130" si="60">H35</f>
        <v>15.874000000000001</v>
      </c>
      <c r="I129" s="84">
        <f t="shared" si="60"/>
        <v>14.914</v>
      </c>
      <c r="J129" s="84">
        <f t="shared" si="60"/>
        <v>14.468999999999999</v>
      </c>
      <c r="K129" s="84">
        <f t="shared" si="60"/>
        <v>12.677</v>
      </c>
      <c r="L129" s="84">
        <f t="shared" si="60"/>
        <v>13.847</v>
      </c>
      <c r="M129" s="84">
        <f t="shared" si="60"/>
        <v>14</v>
      </c>
      <c r="N129" s="84">
        <f t="shared" si="60"/>
        <v>14</v>
      </c>
      <c r="O129" s="84">
        <f t="shared" si="60"/>
        <v>14</v>
      </c>
      <c r="P129" s="84">
        <f t="shared" si="60"/>
        <v>14</v>
      </c>
      <c r="Q129" s="84">
        <f t="shared" si="60"/>
        <v>14</v>
      </c>
      <c r="R129" s="84">
        <f t="shared" si="60"/>
        <v>14</v>
      </c>
    </row>
    <row r="130" spans="3:19" x14ac:dyDescent="0.2">
      <c r="G130" s="83" t="s">
        <v>333</v>
      </c>
      <c r="H130" s="84">
        <f t="shared" si="60"/>
        <v>6.391</v>
      </c>
      <c r="I130" s="84">
        <f t="shared" si="60"/>
        <v>7.0380000000000003</v>
      </c>
      <c r="J130" s="84">
        <f t="shared" si="60"/>
        <v>75.296000000000006</v>
      </c>
      <c r="K130" s="84">
        <f t="shared" si="60"/>
        <v>126.434</v>
      </c>
      <c r="L130" s="84">
        <f t="shared" si="60"/>
        <v>15.94</v>
      </c>
      <c r="M130" s="84">
        <f t="shared" si="60"/>
        <v>14</v>
      </c>
      <c r="N130" s="84">
        <f t="shared" si="60"/>
        <v>8</v>
      </c>
      <c r="O130" s="84">
        <f t="shared" si="60"/>
        <v>8</v>
      </c>
      <c r="P130" s="84">
        <f t="shared" si="60"/>
        <v>8</v>
      </c>
      <c r="Q130" s="84">
        <f t="shared" si="60"/>
        <v>8</v>
      </c>
      <c r="R130" s="84">
        <f t="shared" si="60"/>
        <v>8</v>
      </c>
    </row>
    <row r="131" spans="3:19" x14ac:dyDescent="0.2">
      <c r="G131" s="83" t="s">
        <v>334</v>
      </c>
      <c r="H131" s="84">
        <f t="shared" ref="H131:R131" si="61">H38+H41</f>
        <v>-119.395</v>
      </c>
      <c r="I131" s="84">
        <f t="shared" si="61"/>
        <v>-114.59399999999999</v>
      </c>
      <c r="J131" s="84">
        <f t="shared" si="61"/>
        <v>-116.13500000000001</v>
      </c>
      <c r="K131" s="84">
        <f t="shared" si="61"/>
        <v>-128.43899999999999</v>
      </c>
      <c r="L131" s="84">
        <f t="shared" si="61"/>
        <v>-132.01599999999999</v>
      </c>
      <c r="M131" s="84">
        <f t="shared" si="61"/>
        <v>-147</v>
      </c>
      <c r="N131" s="84">
        <f t="shared" si="61"/>
        <v>-128</v>
      </c>
      <c r="O131" s="84">
        <f t="shared" si="61"/>
        <v>-90</v>
      </c>
      <c r="P131" s="84">
        <f t="shared" si="61"/>
        <v>-25</v>
      </c>
      <c r="Q131" s="84">
        <f t="shared" si="61"/>
        <v>-18</v>
      </c>
      <c r="R131" s="84">
        <f t="shared" si="61"/>
        <v>-18</v>
      </c>
    </row>
    <row r="132" spans="3:19" x14ac:dyDescent="0.2">
      <c r="G132" s="83" t="s">
        <v>335</v>
      </c>
      <c r="H132" s="84">
        <f t="shared" ref="H132:R132" si="62">H41</f>
        <v>-119.395</v>
      </c>
      <c r="I132" s="84">
        <f t="shared" si="62"/>
        <v>-114.59399999999999</v>
      </c>
      <c r="J132" s="84">
        <f t="shared" si="62"/>
        <v>-116.13500000000001</v>
      </c>
      <c r="K132" s="84">
        <f t="shared" si="62"/>
        <v>-128.43899999999999</v>
      </c>
      <c r="L132" s="84">
        <f t="shared" si="62"/>
        <v>-132.01599999999999</v>
      </c>
      <c r="M132" s="84">
        <f t="shared" si="62"/>
        <v>-147</v>
      </c>
      <c r="N132" s="84">
        <f t="shared" si="62"/>
        <v>-128</v>
      </c>
      <c r="O132" s="84">
        <f t="shared" si="62"/>
        <v>-90</v>
      </c>
      <c r="P132" s="84">
        <f t="shared" si="62"/>
        <v>-25</v>
      </c>
      <c r="Q132" s="84">
        <f t="shared" si="62"/>
        <v>-18</v>
      </c>
      <c r="R132" s="84">
        <f t="shared" si="62"/>
        <v>-18</v>
      </c>
    </row>
    <row r="133" spans="3:19" x14ac:dyDescent="0.2">
      <c r="G133" s="83" t="s">
        <v>336</v>
      </c>
      <c r="H133" s="84">
        <f t="shared" ref="H133:R133" si="63">H38</f>
        <v>0</v>
      </c>
      <c r="I133" s="84">
        <f t="shared" si="63"/>
        <v>0</v>
      </c>
      <c r="J133" s="84">
        <f t="shared" si="63"/>
        <v>0</v>
      </c>
      <c r="K133" s="84">
        <f t="shared" si="63"/>
        <v>0</v>
      </c>
      <c r="L133" s="84">
        <f t="shared" si="63"/>
        <v>0</v>
      </c>
      <c r="M133" s="84">
        <f t="shared" si="63"/>
        <v>0</v>
      </c>
      <c r="N133" s="84">
        <f t="shared" si="63"/>
        <v>0</v>
      </c>
      <c r="O133" s="84">
        <f t="shared" si="63"/>
        <v>0</v>
      </c>
      <c r="P133" s="84">
        <f t="shared" si="63"/>
        <v>0</v>
      </c>
      <c r="Q133" s="84">
        <f t="shared" si="63"/>
        <v>0</v>
      </c>
      <c r="R133" s="84">
        <f t="shared" si="63"/>
        <v>0</v>
      </c>
    </row>
    <row r="134" spans="3:19" x14ac:dyDescent="0.2">
      <c r="G134" s="83" t="s">
        <v>337</v>
      </c>
      <c r="H134" s="84">
        <f t="shared" ref="H134:R134" si="64">H46</f>
        <v>-97.13</v>
      </c>
      <c r="I134" s="84">
        <f t="shared" si="64"/>
        <v>-92.641999999999996</v>
      </c>
      <c r="J134" s="84">
        <f t="shared" si="64"/>
        <v>-26.370000000000005</v>
      </c>
      <c r="K134" s="84">
        <f t="shared" si="64"/>
        <v>10.671999999999997</v>
      </c>
      <c r="L134" s="84">
        <f t="shared" si="64"/>
        <v>-102.22899999999998</v>
      </c>
      <c r="M134" s="84">
        <f t="shared" si="64"/>
        <v>-119</v>
      </c>
      <c r="N134" s="84">
        <f t="shared" si="64"/>
        <v>-106</v>
      </c>
      <c r="O134" s="84">
        <f t="shared" si="64"/>
        <v>-68</v>
      </c>
      <c r="P134" s="84">
        <f t="shared" si="64"/>
        <v>-3</v>
      </c>
      <c r="Q134" s="84">
        <f t="shared" si="64"/>
        <v>4</v>
      </c>
      <c r="R134" s="84">
        <f t="shared" si="64"/>
        <v>4</v>
      </c>
    </row>
    <row r="135" spans="3:19" x14ac:dyDescent="0.2">
      <c r="G135" s="83" t="s">
        <v>338</v>
      </c>
      <c r="H135" s="84">
        <f t="shared" ref="H135:R135" si="65">H51</f>
        <v>-97.125999999999991</v>
      </c>
      <c r="I135" s="84">
        <f t="shared" si="65"/>
        <v>-92.640999999999991</v>
      </c>
      <c r="J135" s="84">
        <f t="shared" si="65"/>
        <v>-26.369000000000003</v>
      </c>
      <c r="K135" s="84">
        <f t="shared" si="65"/>
        <v>10.671999999999997</v>
      </c>
      <c r="L135" s="84">
        <f t="shared" si="65"/>
        <v>-102.21699999999998</v>
      </c>
      <c r="M135" s="84">
        <f t="shared" si="65"/>
        <v>-119</v>
      </c>
      <c r="N135" s="84">
        <f t="shared" si="65"/>
        <v>-106</v>
      </c>
      <c r="O135" s="84">
        <f t="shared" si="65"/>
        <v>-68</v>
      </c>
      <c r="P135" s="84">
        <f t="shared" si="65"/>
        <v>-3</v>
      </c>
      <c r="Q135" s="84">
        <f t="shared" si="65"/>
        <v>4</v>
      </c>
      <c r="R135" s="84">
        <f t="shared" si="65"/>
        <v>4</v>
      </c>
    </row>
    <row r="136" spans="3:19" x14ac:dyDescent="0.2">
      <c r="G136" s="83" t="s">
        <v>339</v>
      </c>
      <c r="H136" s="84">
        <f t="shared" ref="H136:R137" si="66">H4</f>
        <v>520.68100000000004</v>
      </c>
      <c r="I136" s="84">
        <f t="shared" si="66"/>
        <v>427.96700000000004</v>
      </c>
      <c r="J136" s="84">
        <f t="shared" si="66"/>
        <v>532.04499999999996</v>
      </c>
      <c r="K136" s="84">
        <f t="shared" si="66"/>
        <v>424.36100000000005</v>
      </c>
      <c r="L136" s="84">
        <f t="shared" si="66"/>
        <v>314.59200000000004</v>
      </c>
      <c r="M136" s="84">
        <f t="shared" si="66"/>
        <v>189</v>
      </c>
      <c r="N136" s="84">
        <f t="shared" si="66"/>
        <v>83</v>
      </c>
      <c r="O136" s="84">
        <f t="shared" si="66"/>
        <v>15</v>
      </c>
      <c r="P136" s="84">
        <f t="shared" si="66"/>
        <v>12</v>
      </c>
      <c r="Q136" s="84">
        <f t="shared" si="66"/>
        <v>16</v>
      </c>
      <c r="R136" s="84">
        <f t="shared" si="66"/>
        <v>12</v>
      </c>
    </row>
    <row r="137" spans="3:19" x14ac:dyDescent="0.2">
      <c r="G137" s="83" t="s">
        <v>340</v>
      </c>
      <c r="H137" s="84">
        <f t="shared" si="66"/>
        <v>4.9459999999999997</v>
      </c>
      <c r="I137" s="84">
        <f t="shared" si="66"/>
        <v>6.0019999999999998</v>
      </c>
      <c r="J137" s="84">
        <f t="shared" si="66"/>
        <v>32.103000000000002</v>
      </c>
      <c r="K137" s="84">
        <f t="shared" si="66"/>
        <v>14.92</v>
      </c>
      <c r="L137" s="84">
        <f t="shared" si="66"/>
        <v>11.862</v>
      </c>
      <c r="M137" s="84">
        <f t="shared" si="66"/>
        <v>6</v>
      </c>
      <c r="N137" s="84">
        <f t="shared" si="66"/>
        <v>6</v>
      </c>
      <c r="O137" s="84">
        <f t="shared" si="66"/>
        <v>6</v>
      </c>
      <c r="P137" s="84">
        <f t="shared" si="66"/>
        <v>6</v>
      </c>
      <c r="Q137" s="84">
        <f t="shared" si="66"/>
        <v>6</v>
      </c>
      <c r="R137" s="84">
        <f t="shared" si="66"/>
        <v>6</v>
      </c>
    </row>
    <row r="138" spans="3:19" x14ac:dyDescent="0.2">
      <c r="G138" s="83" t="s">
        <v>341</v>
      </c>
      <c r="H138" s="84">
        <f t="shared" ref="H138:R138" si="67">H10</f>
        <v>515.73500000000001</v>
      </c>
      <c r="I138" s="84">
        <f t="shared" si="67"/>
        <v>421.96500000000003</v>
      </c>
      <c r="J138" s="84">
        <f t="shared" si="67"/>
        <v>499.94200000000001</v>
      </c>
      <c r="K138" s="84">
        <f t="shared" si="67"/>
        <v>409.44100000000003</v>
      </c>
      <c r="L138" s="84">
        <f t="shared" si="67"/>
        <v>302.73</v>
      </c>
      <c r="M138" s="84">
        <f t="shared" si="67"/>
        <v>183</v>
      </c>
      <c r="N138" s="84">
        <f t="shared" si="67"/>
        <v>77</v>
      </c>
      <c r="O138" s="84">
        <f t="shared" si="67"/>
        <v>9</v>
      </c>
      <c r="P138" s="84">
        <f t="shared" si="67"/>
        <v>6</v>
      </c>
      <c r="Q138" s="84">
        <f t="shared" si="67"/>
        <v>10</v>
      </c>
      <c r="R138" s="84">
        <f t="shared" si="67"/>
        <v>6</v>
      </c>
    </row>
    <row r="139" spans="3:19" x14ac:dyDescent="0.2">
      <c r="G139" s="83" t="s">
        <v>342</v>
      </c>
      <c r="H139" s="84">
        <f t="shared" ref="H139:R140" si="68">H19</f>
        <v>2.258</v>
      </c>
      <c r="I139" s="84">
        <f t="shared" si="68"/>
        <v>2.1840000000000002</v>
      </c>
      <c r="J139" s="84">
        <f t="shared" si="68"/>
        <v>132.63</v>
      </c>
      <c r="K139" s="84">
        <f t="shared" si="68"/>
        <v>14.276</v>
      </c>
      <c r="L139" s="84">
        <f t="shared" si="68"/>
        <v>6.7220000000000004</v>
      </c>
      <c r="M139" s="84">
        <f t="shared" si="68"/>
        <v>0</v>
      </c>
      <c r="N139" s="84">
        <f t="shared" si="68"/>
        <v>0</v>
      </c>
      <c r="O139" s="84">
        <f t="shared" si="68"/>
        <v>0</v>
      </c>
      <c r="P139" s="84">
        <f t="shared" si="68"/>
        <v>0</v>
      </c>
      <c r="Q139" s="84">
        <f t="shared" si="68"/>
        <v>0</v>
      </c>
      <c r="R139" s="84">
        <f t="shared" si="68"/>
        <v>0</v>
      </c>
    </row>
    <row r="140" spans="3:19" x14ac:dyDescent="0.2">
      <c r="G140" s="83" t="s">
        <v>343</v>
      </c>
      <c r="H140" s="84">
        <f t="shared" si="68"/>
        <v>2.258</v>
      </c>
      <c r="I140" s="84">
        <f t="shared" si="68"/>
        <v>2.1840000000000002</v>
      </c>
      <c r="J140" s="84">
        <f t="shared" si="68"/>
        <v>132.63</v>
      </c>
      <c r="K140" s="84">
        <f t="shared" si="68"/>
        <v>14.276</v>
      </c>
      <c r="L140" s="84">
        <f t="shared" si="68"/>
        <v>6.7220000000000004</v>
      </c>
      <c r="M140" s="84">
        <f t="shared" si="68"/>
        <v>0</v>
      </c>
      <c r="N140" s="84">
        <f t="shared" si="68"/>
        <v>0</v>
      </c>
      <c r="O140" s="84">
        <f t="shared" si="68"/>
        <v>0</v>
      </c>
      <c r="P140" s="84">
        <f t="shared" si="68"/>
        <v>0</v>
      </c>
      <c r="Q140" s="84">
        <f t="shared" si="68"/>
        <v>0</v>
      </c>
      <c r="R140" s="84">
        <f t="shared" si="68"/>
        <v>0</v>
      </c>
    </row>
    <row r="141" spans="3:19" x14ac:dyDescent="0.2">
      <c r="G141" s="83" t="s">
        <v>344</v>
      </c>
      <c r="H141" s="84">
        <f t="shared" ref="H141:R141" si="69">H24</f>
        <v>0</v>
      </c>
      <c r="I141" s="84">
        <f t="shared" si="69"/>
        <v>0</v>
      </c>
      <c r="J141" s="84">
        <f t="shared" si="69"/>
        <v>0</v>
      </c>
      <c r="K141" s="84">
        <f t="shared" si="69"/>
        <v>0</v>
      </c>
      <c r="L141" s="84">
        <f t="shared" si="69"/>
        <v>0</v>
      </c>
      <c r="M141" s="84">
        <f t="shared" si="69"/>
        <v>0</v>
      </c>
      <c r="N141" s="84">
        <f t="shared" si="69"/>
        <v>0</v>
      </c>
      <c r="O141" s="84">
        <f t="shared" si="69"/>
        <v>0</v>
      </c>
      <c r="P141" s="84">
        <f t="shared" si="69"/>
        <v>0</v>
      </c>
      <c r="Q141" s="84">
        <f t="shared" si="69"/>
        <v>0</v>
      </c>
      <c r="R141" s="84">
        <f t="shared" si="69"/>
        <v>0</v>
      </c>
    </row>
    <row r="142" spans="3:19" x14ac:dyDescent="0.2">
      <c r="G142" s="83" t="s">
        <v>345</v>
      </c>
      <c r="H142" s="84">
        <f t="shared" ref="H142:R142" si="70">H27</f>
        <v>518.423</v>
      </c>
      <c r="I142" s="84">
        <f t="shared" si="70"/>
        <v>425.78300000000002</v>
      </c>
      <c r="J142" s="84">
        <f t="shared" si="70"/>
        <v>399.41399999999999</v>
      </c>
      <c r="K142" s="84">
        <f t="shared" si="70"/>
        <v>410.08600000000001</v>
      </c>
      <c r="L142" s="84">
        <f t="shared" si="70"/>
        <v>307.87</v>
      </c>
      <c r="M142" s="84">
        <f t="shared" si="70"/>
        <v>189</v>
      </c>
      <c r="N142" s="84">
        <f t="shared" si="70"/>
        <v>83</v>
      </c>
      <c r="O142" s="84">
        <f t="shared" si="70"/>
        <v>15</v>
      </c>
      <c r="P142" s="84">
        <f t="shared" si="70"/>
        <v>12</v>
      </c>
      <c r="Q142" s="84">
        <f t="shared" si="70"/>
        <v>16</v>
      </c>
      <c r="R142" s="84">
        <f t="shared" si="70"/>
        <v>12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73" priority="51" stopIfTrue="1" operator="greaterThan">
      <formula>$E$116</formula>
    </cfRule>
    <cfRule type="cellIs" dxfId="172" priority="52" stopIfTrue="1" operator="lessThanOrEqual">
      <formula>$E$116</formula>
    </cfRule>
  </conditionalFormatting>
  <conditionalFormatting sqref="H118:Q118">
    <cfRule type="cellIs" dxfId="171" priority="49" stopIfTrue="1" operator="lessThanOrEqual">
      <formula>$E$118</formula>
    </cfRule>
    <cfRule type="cellIs" dxfId="170" priority="50" stopIfTrue="1" operator="greaterThan">
      <formula>$E$118</formula>
    </cfRule>
  </conditionalFormatting>
  <conditionalFormatting sqref="H99:Q99">
    <cfRule type="cellIs" dxfId="169" priority="47" operator="greaterThan">
      <formula>$E$99</formula>
    </cfRule>
    <cfRule type="cellIs" dxfId="168" priority="48" operator="lessThanOrEqual">
      <formula>$E$99</formula>
    </cfRule>
  </conditionalFormatting>
  <conditionalFormatting sqref="H102:Q102">
    <cfRule type="cellIs" dxfId="167" priority="45" stopIfTrue="1" operator="greaterThanOrEqual">
      <formula>$E$102</formula>
    </cfRule>
    <cfRule type="cellIs" dxfId="166" priority="46" stopIfTrue="1" operator="lessThan">
      <formula>$E$102</formula>
    </cfRule>
  </conditionalFormatting>
  <conditionalFormatting sqref="H104:Q104">
    <cfRule type="cellIs" dxfId="165" priority="43" stopIfTrue="1" operator="lessThan">
      <formula>$E$104</formula>
    </cfRule>
    <cfRule type="cellIs" dxfId="164" priority="44" stopIfTrue="1" operator="greaterThanOrEqual">
      <formula>$E$104</formula>
    </cfRule>
  </conditionalFormatting>
  <conditionalFormatting sqref="H103:Q103">
    <cfRule type="cellIs" dxfId="163" priority="41" stopIfTrue="1" operator="greaterThan">
      <formula>$E$103</formula>
    </cfRule>
    <cfRule type="cellIs" dxfId="162" priority="42" stopIfTrue="1" operator="lessThanOrEqual">
      <formula>$E$103</formula>
    </cfRule>
  </conditionalFormatting>
  <conditionalFormatting sqref="H100:Q100">
    <cfRule type="cellIs" dxfId="161" priority="30" stopIfTrue="1" operator="between">
      <formula>$D$100</formula>
      <formula>$E$100</formula>
    </cfRule>
    <cfRule type="cellIs" dxfId="160" priority="39" stopIfTrue="1" operator="lessThanOrEqual">
      <formula>$D$100</formula>
    </cfRule>
    <cfRule type="cellIs" dxfId="159" priority="40" stopIfTrue="1" operator="greaterThan">
      <formula>$E$100</formula>
    </cfRule>
  </conditionalFormatting>
  <conditionalFormatting sqref="H117:Q117">
    <cfRule type="cellIs" dxfId="158" priority="37" stopIfTrue="1" operator="greaterThan">
      <formula>$E$117</formula>
    </cfRule>
    <cfRule type="cellIs" dxfId="157" priority="38" stopIfTrue="1" operator="lessThanOrEqual">
      <formula>$E$117</formula>
    </cfRule>
  </conditionalFormatting>
  <conditionalFormatting sqref="H107:Q107">
    <cfRule type="cellIs" dxfId="156" priority="35" stopIfTrue="1" operator="greaterThan">
      <formula>$E$107</formula>
    </cfRule>
    <cfRule type="cellIs" dxfId="155" priority="36" stopIfTrue="1" operator="lessThanOrEqual">
      <formula>$E$107</formula>
    </cfRule>
  </conditionalFormatting>
  <conditionalFormatting sqref="H108:Q108">
    <cfRule type="cellIs" dxfId="154" priority="33" stopIfTrue="1" operator="lessThan">
      <formula>$E$108</formula>
    </cfRule>
    <cfRule type="cellIs" dxfId="153" priority="34" stopIfTrue="1" operator="greaterThanOrEqual">
      <formula>$E$108</formula>
    </cfRule>
  </conditionalFormatting>
  <conditionalFormatting sqref="H93:Q93">
    <cfRule type="cellIs" dxfId="152" priority="53" stopIfTrue="1" operator="lessThan">
      <formula>$D$93</formula>
    </cfRule>
    <cfRule type="cellIs" dxfId="151" priority="54" stopIfTrue="1" operator="between">
      <formula>$D$93</formula>
      <formula>$E$93</formula>
    </cfRule>
    <cfRule type="cellIs" dxfId="150" priority="55" stopIfTrue="1" operator="greaterThan">
      <formula>$E$93</formula>
    </cfRule>
  </conditionalFormatting>
  <conditionalFormatting sqref="H114:Q114">
    <cfRule type="cellIs" dxfId="149" priority="56" stopIfTrue="1" operator="lessThan">
      <formula>$E$114</formula>
    </cfRule>
    <cfRule type="cellIs" dxfId="148" priority="57" stopIfTrue="1" operator="between">
      <formula>$D$114</formula>
      <formula>$E$114</formula>
    </cfRule>
    <cfRule type="cellIs" dxfId="147" priority="58" stopIfTrue="1" operator="greaterThanOrEqual">
      <formula>$D$114</formula>
    </cfRule>
  </conditionalFormatting>
  <conditionalFormatting sqref="H90:Q90">
    <cfRule type="cellIs" dxfId="146" priority="31" stopIfTrue="1" operator="lessThan">
      <formula>$E$90</formula>
    </cfRule>
    <cfRule type="cellIs" dxfId="145" priority="32" stopIfTrue="1" operator="greaterThan">
      <formula>$E$90</formula>
    </cfRule>
  </conditionalFormatting>
  <conditionalFormatting sqref="R116">
    <cfRule type="cellIs" dxfId="144" priority="22" stopIfTrue="1" operator="greaterThan">
      <formula>$E$116</formula>
    </cfRule>
    <cfRule type="cellIs" dxfId="143" priority="23" stopIfTrue="1" operator="lessThanOrEqual">
      <formula>$E$116</formula>
    </cfRule>
  </conditionalFormatting>
  <conditionalFormatting sqref="R118">
    <cfRule type="cellIs" dxfId="142" priority="20" stopIfTrue="1" operator="lessThanOrEqual">
      <formula>$E$118</formula>
    </cfRule>
    <cfRule type="cellIs" dxfId="141" priority="21" stopIfTrue="1" operator="greaterThan">
      <formula>$E$118</formula>
    </cfRule>
  </conditionalFormatting>
  <conditionalFormatting sqref="R99">
    <cfRule type="cellIs" dxfId="140" priority="18" operator="greaterThan">
      <formula>$E$99</formula>
    </cfRule>
    <cfRule type="cellIs" dxfId="139" priority="19" operator="lessThanOrEqual">
      <formula>$E$99</formula>
    </cfRule>
  </conditionalFormatting>
  <conditionalFormatting sqref="R102">
    <cfRule type="cellIs" dxfId="138" priority="16" stopIfTrue="1" operator="greaterThanOrEqual">
      <formula>$E$102</formula>
    </cfRule>
    <cfRule type="cellIs" dxfId="137" priority="17" stopIfTrue="1" operator="lessThan">
      <formula>$E$102</formula>
    </cfRule>
  </conditionalFormatting>
  <conditionalFormatting sqref="R104">
    <cfRule type="cellIs" dxfId="136" priority="14" stopIfTrue="1" operator="lessThan">
      <formula>$E$104</formula>
    </cfRule>
    <cfRule type="cellIs" dxfId="135" priority="15" stopIfTrue="1" operator="greaterThanOrEqual">
      <formula>$E$104</formula>
    </cfRule>
  </conditionalFormatting>
  <conditionalFormatting sqref="R103">
    <cfRule type="cellIs" dxfId="134" priority="12" stopIfTrue="1" operator="greaterThan">
      <formula>$E$103</formula>
    </cfRule>
    <cfRule type="cellIs" dxfId="133" priority="13" stopIfTrue="1" operator="lessThanOrEqual">
      <formula>$E$103</formula>
    </cfRule>
  </conditionalFormatting>
  <conditionalFormatting sqref="R100">
    <cfRule type="cellIs" dxfId="132" priority="1" stopIfTrue="1" operator="between">
      <formula>$D$100</formula>
      <formula>$E$100</formula>
    </cfRule>
    <cfRule type="cellIs" dxfId="131" priority="10" stopIfTrue="1" operator="lessThanOrEqual">
      <formula>$D$100</formula>
    </cfRule>
    <cfRule type="cellIs" dxfId="130" priority="11" stopIfTrue="1" operator="greaterThan">
      <formula>$E$100</formula>
    </cfRule>
  </conditionalFormatting>
  <conditionalFormatting sqref="R117">
    <cfRule type="cellIs" dxfId="129" priority="8" stopIfTrue="1" operator="greaterThan">
      <formula>$E$117</formula>
    </cfRule>
    <cfRule type="cellIs" dxfId="128" priority="9" stopIfTrue="1" operator="lessThanOrEqual">
      <formula>$E$117</formula>
    </cfRule>
  </conditionalFormatting>
  <conditionalFormatting sqref="R107">
    <cfRule type="cellIs" dxfId="127" priority="6" stopIfTrue="1" operator="greaterThan">
      <formula>$E$107</formula>
    </cfRule>
    <cfRule type="cellIs" dxfId="126" priority="7" stopIfTrue="1" operator="lessThanOrEqual">
      <formula>$E$107</formula>
    </cfRule>
  </conditionalFormatting>
  <conditionalFormatting sqref="R108">
    <cfRule type="cellIs" dxfId="125" priority="4" stopIfTrue="1" operator="lessThan">
      <formula>$E$108</formula>
    </cfRule>
    <cfRule type="cellIs" dxfId="124" priority="5" stopIfTrue="1" operator="greaterThanOrEqual">
      <formula>$E$108</formula>
    </cfRule>
  </conditionalFormatting>
  <conditionalFormatting sqref="R93">
    <cfRule type="cellIs" dxfId="123" priority="24" stopIfTrue="1" operator="lessThan">
      <formula>$D$93</formula>
    </cfRule>
    <cfRule type="cellIs" dxfId="122" priority="25" stopIfTrue="1" operator="between">
      <formula>$D$93</formula>
      <formula>$E$93</formula>
    </cfRule>
    <cfRule type="cellIs" dxfId="121" priority="26" stopIfTrue="1" operator="greaterThan">
      <formula>$E$93</formula>
    </cfRule>
  </conditionalFormatting>
  <conditionalFormatting sqref="R114">
    <cfRule type="cellIs" dxfId="120" priority="27" stopIfTrue="1" operator="lessThan">
      <formula>$E$114</formula>
    </cfRule>
    <cfRule type="cellIs" dxfId="119" priority="28" stopIfTrue="1" operator="between">
      <formula>$D$114</formula>
      <formula>$E$114</formula>
    </cfRule>
    <cfRule type="cellIs" dxfId="118" priority="29" stopIfTrue="1" operator="greaterThanOrEqual">
      <formula>$D$114</formula>
    </cfRule>
  </conditionalFormatting>
  <conditionalFormatting sqref="R90">
    <cfRule type="cellIs" dxfId="117" priority="2" stopIfTrue="1" operator="lessThan">
      <formula>$E$90</formula>
    </cfRule>
    <cfRule type="cellIs" dxfId="116" priority="3" stopIfTrue="1" operator="greaterThan">
      <formula>$E$90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18.570312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18.570312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18.570312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18.570312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18.570312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18.570312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18.570312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18.570312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18.570312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18.570312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18.570312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18.570312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18.570312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18.570312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18.570312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18.570312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18.570312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18.570312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18.570312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18.570312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18.570312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18.570312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18.570312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18.570312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18.570312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18.570312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18.570312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18.570312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18.570312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18.570312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18.570312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18.570312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18.570312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18.570312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18.570312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18.570312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18.570312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18.570312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18.570312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18.570312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18.570312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18.570312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18.570312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18.570312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18.570312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18.570312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18.570312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18.570312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18.570312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18.570312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18.570312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18.570312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18.570312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18.570312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18.570312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18.570312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18.570312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18.570312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18.570312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18.570312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18.570312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18.570312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18.570312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18.570312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502" t="s">
        <v>455</v>
      </c>
      <c r="H2" s="503" t="s">
        <v>456</v>
      </c>
      <c r="I2" s="504"/>
      <c r="J2" s="505"/>
      <c r="K2" s="1173" t="s">
        <v>6</v>
      </c>
      <c r="L2" s="1174"/>
      <c r="M2" s="1175" t="s">
        <v>457</v>
      </c>
      <c r="N2" s="1176"/>
      <c r="O2" s="1176"/>
      <c r="P2" s="1176"/>
      <c r="Q2" s="1176"/>
      <c r="R2" s="1177"/>
    </row>
    <row r="3" spans="1:18" x14ac:dyDescent="0.2">
      <c r="A3" s="1"/>
      <c r="B3" s="10"/>
      <c r="C3" s="3"/>
      <c r="D3" s="3"/>
      <c r="E3" s="1"/>
      <c r="F3" s="1"/>
      <c r="G3" s="506" t="s">
        <v>7</v>
      </c>
      <c r="H3" s="507">
        <v>40908</v>
      </c>
      <c r="I3" s="507">
        <v>41274</v>
      </c>
      <c r="J3" s="507">
        <v>41639</v>
      </c>
      <c r="K3" s="507">
        <v>42004</v>
      </c>
      <c r="L3" s="507">
        <v>42369</v>
      </c>
      <c r="M3" s="507">
        <v>42735</v>
      </c>
      <c r="N3" s="507">
        <v>43100</v>
      </c>
      <c r="O3" s="507">
        <v>43465</v>
      </c>
      <c r="P3" s="507">
        <v>43830</v>
      </c>
      <c r="Q3" s="507">
        <v>44196</v>
      </c>
      <c r="R3" s="507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508" t="s">
        <v>9</v>
      </c>
      <c r="H4" s="509">
        <f t="shared" ref="H4:R4" si="0">H5+H10</f>
        <v>2502.1879999999996</v>
      </c>
      <c r="I4" s="509">
        <f t="shared" si="0"/>
        <v>2971.1239999999998</v>
      </c>
      <c r="J4" s="509">
        <f t="shared" si="0"/>
        <v>2747.4300000000003</v>
      </c>
      <c r="K4" s="509">
        <f t="shared" si="0"/>
        <v>1455.415</v>
      </c>
      <c r="L4" s="509">
        <f t="shared" si="0"/>
        <v>1292.511</v>
      </c>
      <c r="M4" s="509">
        <f t="shared" si="0"/>
        <v>1368.12</v>
      </c>
      <c r="N4" s="509">
        <f t="shared" si="0"/>
        <v>1727.6320000000001</v>
      </c>
      <c r="O4" s="509">
        <f t="shared" si="0"/>
        <v>1200</v>
      </c>
      <c r="P4" s="509">
        <f t="shared" si="0"/>
        <v>1090</v>
      </c>
      <c r="Q4" s="509">
        <f t="shared" si="0"/>
        <v>1035</v>
      </c>
      <c r="R4" s="509">
        <f t="shared" si="0"/>
        <v>950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509">
        <f t="shared" ref="H5:Q5" si="1">SUM(H6:H9)</f>
        <v>2400.1309999999999</v>
      </c>
      <c r="I5" s="509">
        <f t="shared" si="1"/>
        <v>2915.848</v>
      </c>
      <c r="J5" s="509">
        <f t="shared" si="1"/>
        <v>2706.84</v>
      </c>
      <c r="K5" s="509">
        <f t="shared" si="1"/>
        <v>1425.3589999999999</v>
      </c>
      <c r="L5" s="509">
        <f t="shared" si="1"/>
        <v>1266.415</v>
      </c>
      <c r="M5" s="509">
        <f t="shared" si="1"/>
        <v>1366.933</v>
      </c>
      <c r="N5" s="509">
        <f t="shared" si="1"/>
        <v>1726.732</v>
      </c>
      <c r="O5" s="509">
        <f t="shared" si="1"/>
        <v>1200</v>
      </c>
      <c r="P5" s="509">
        <f t="shared" si="1"/>
        <v>1090</v>
      </c>
      <c r="Q5" s="509">
        <f t="shared" si="1"/>
        <v>1035</v>
      </c>
      <c r="R5" s="509">
        <f>SUM(R6:R9)</f>
        <v>950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510">
        <v>796.02599999999995</v>
      </c>
      <c r="I6" s="510">
        <v>953.03399999999999</v>
      </c>
      <c r="J6" s="510">
        <v>929.77599999999995</v>
      </c>
      <c r="K6" s="510">
        <v>944.51900000000001</v>
      </c>
      <c r="L6" s="510">
        <v>1071.3979999999999</v>
      </c>
      <c r="M6" s="510">
        <v>368.17500000000001</v>
      </c>
      <c r="N6" s="510">
        <v>953.73199999999997</v>
      </c>
      <c r="O6" s="510">
        <v>350</v>
      </c>
      <c r="P6" s="510">
        <v>320</v>
      </c>
      <c r="Q6" s="510">
        <v>300</v>
      </c>
      <c r="R6" s="510">
        <v>300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510">
        <v>1604.105</v>
      </c>
      <c r="I7" s="510">
        <v>1962.8140000000001</v>
      </c>
      <c r="J7" s="510">
        <v>1777.0640000000001</v>
      </c>
      <c r="K7" s="510">
        <v>480.84</v>
      </c>
      <c r="L7" s="510">
        <v>195.017</v>
      </c>
      <c r="M7" s="510">
        <v>998.75800000000004</v>
      </c>
      <c r="N7" s="510">
        <v>773</v>
      </c>
      <c r="O7" s="510">
        <v>850</v>
      </c>
      <c r="P7" s="510">
        <v>770</v>
      </c>
      <c r="Q7" s="510">
        <v>735</v>
      </c>
      <c r="R7" s="510">
        <v>650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510">
        <v>0</v>
      </c>
      <c r="I8" s="510">
        <v>0</v>
      </c>
      <c r="J8" s="510">
        <v>0</v>
      </c>
      <c r="K8" s="510">
        <v>0</v>
      </c>
      <c r="L8" s="510">
        <v>0</v>
      </c>
      <c r="M8" s="510">
        <v>0</v>
      </c>
      <c r="N8" s="510">
        <v>0</v>
      </c>
      <c r="O8" s="510">
        <v>0</v>
      </c>
      <c r="P8" s="510">
        <v>0</v>
      </c>
      <c r="Q8" s="510">
        <v>0</v>
      </c>
      <c r="R8" s="510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510">
        <v>0</v>
      </c>
      <c r="I9" s="510">
        <v>0</v>
      </c>
      <c r="J9" s="510">
        <v>0</v>
      </c>
      <c r="K9" s="510">
        <v>0</v>
      </c>
      <c r="L9" s="510">
        <v>0</v>
      </c>
      <c r="M9" s="510">
        <v>0</v>
      </c>
      <c r="N9" s="510">
        <v>0</v>
      </c>
      <c r="O9" s="510">
        <v>0</v>
      </c>
      <c r="P9" s="510">
        <v>0</v>
      </c>
      <c r="Q9" s="510">
        <v>0</v>
      </c>
      <c r="R9" s="510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509">
        <f>SUM(H11:H16)</f>
        <v>102.057</v>
      </c>
      <c r="I10" s="509">
        <f t="shared" ref="I10:R10" si="2">SUM(I11:I16)</f>
        <v>55.276000000000003</v>
      </c>
      <c r="J10" s="509">
        <f t="shared" si="2"/>
        <v>40.590000000000003</v>
      </c>
      <c r="K10" s="509">
        <f t="shared" si="2"/>
        <v>30.056000000000001</v>
      </c>
      <c r="L10" s="509">
        <f t="shared" si="2"/>
        <v>26.096</v>
      </c>
      <c r="M10" s="509">
        <f t="shared" si="2"/>
        <v>1.1870000000000001</v>
      </c>
      <c r="N10" s="509">
        <f t="shared" si="2"/>
        <v>0.9</v>
      </c>
      <c r="O10" s="509">
        <f t="shared" si="2"/>
        <v>0</v>
      </c>
      <c r="P10" s="509">
        <f t="shared" si="2"/>
        <v>0</v>
      </c>
      <c r="Q10" s="509">
        <f t="shared" si="2"/>
        <v>0</v>
      </c>
      <c r="R10" s="509">
        <f t="shared" si="2"/>
        <v>0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510">
        <v>0</v>
      </c>
      <c r="I11" s="510">
        <v>0</v>
      </c>
      <c r="J11" s="510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510">
        <v>0</v>
      </c>
      <c r="R11" s="510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510">
        <v>0</v>
      </c>
      <c r="I12" s="510">
        <v>0</v>
      </c>
      <c r="J12" s="510">
        <v>0</v>
      </c>
      <c r="K12" s="510">
        <v>0</v>
      </c>
      <c r="L12" s="510">
        <v>0</v>
      </c>
      <c r="M12" s="510">
        <v>0</v>
      </c>
      <c r="N12" s="510">
        <v>0</v>
      </c>
      <c r="O12" s="510">
        <v>0</v>
      </c>
      <c r="P12" s="510">
        <v>0</v>
      </c>
      <c r="Q12" s="510">
        <v>0</v>
      </c>
      <c r="R12" s="510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510">
        <v>0</v>
      </c>
      <c r="I13" s="510">
        <v>0</v>
      </c>
      <c r="J13" s="510">
        <v>12.959</v>
      </c>
      <c r="K13" s="510">
        <v>13.446999999999999</v>
      </c>
      <c r="L13" s="510">
        <v>12.951000000000001</v>
      </c>
      <c r="M13" s="510">
        <v>1.01</v>
      </c>
      <c r="N13" s="510">
        <v>0.9</v>
      </c>
      <c r="O13" s="510">
        <v>0</v>
      </c>
      <c r="P13" s="510">
        <v>0</v>
      </c>
      <c r="Q13" s="510">
        <v>0</v>
      </c>
      <c r="R13" s="510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510">
        <v>0</v>
      </c>
      <c r="I14" s="510">
        <v>0</v>
      </c>
      <c r="J14" s="510">
        <v>0</v>
      </c>
      <c r="K14" s="510">
        <v>0</v>
      </c>
      <c r="L14" s="510">
        <v>0</v>
      </c>
      <c r="M14" s="510">
        <v>0</v>
      </c>
      <c r="N14" s="510">
        <v>0</v>
      </c>
      <c r="O14" s="510">
        <v>0</v>
      </c>
      <c r="P14" s="510">
        <v>0</v>
      </c>
      <c r="Q14" s="510">
        <v>0</v>
      </c>
      <c r="R14" s="510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510">
        <v>102.057</v>
      </c>
      <c r="I15" s="510">
        <v>55.276000000000003</v>
      </c>
      <c r="J15" s="510">
        <f>0.952+26.679</f>
        <v>27.631</v>
      </c>
      <c r="K15" s="510">
        <f>7.405+9.204</f>
        <v>16.609000000000002</v>
      </c>
      <c r="L15" s="510">
        <f>5.554+7.591</f>
        <v>13.145</v>
      </c>
      <c r="M15" s="510">
        <v>0.17699999999999999</v>
      </c>
      <c r="N15" s="510">
        <v>0</v>
      </c>
      <c r="O15" s="510">
        <v>0</v>
      </c>
      <c r="P15" s="510">
        <v>0</v>
      </c>
      <c r="Q15" s="510">
        <v>0</v>
      </c>
      <c r="R15" s="510">
        <v>0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510">
        <v>0</v>
      </c>
      <c r="I16" s="510">
        <v>0</v>
      </c>
      <c r="J16" s="510">
        <v>0</v>
      </c>
      <c r="K16" s="510">
        <v>0</v>
      </c>
      <c r="L16" s="510">
        <v>0</v>
      </c>
      <c r="M16" s="510">
        <v>0</v>
      </c>
      <c r="N16" s="510">
        <v>0</v>
      </c>
      <c r="O16" s="510">
        <v>0</v>
      </c>
      <c r="P16" s="510">
        <v>0</v>
      </c>
      <c r="Q16" s="510">
        <v>0</v>
      </c>
      <c r="R16" s="510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511">
        <v>0</v>
      </c>
      <c r="I17" s="511">
        <v>0</v>
      </c>
      <c r="J17" s="511">
        <v>0</v>
      </c>
      <c r="K17" s="511">
        <v>0</v>
      </c>
      <c r="L17" s="511">
        <v>0</v>
      </c>
      <c r="M17" s="511">
        <v>0</v>
      </c>
      <c r="N17" s="511">
        <v>0</v>
      </c>
      <c r="O17" s="511">
        <v>0</v>
      </c>
      <c r="P17" s="511">
        <v>0</v>
      </c>
      <c r="Q17" s="511">
        <v>0</v>
      </c>
      <c r="R17" s="511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509">
        <f>H19+H27</f>
        <v>2502.19</v>
      </c>
      <c r="I18" s="509">
        <f t="shared" ref="I18:R18" si="3">I19+I27</f>
        <v>2971.125</v>
      </c>
      <c r="J18" s="509">
        <f t="shared" si="3"/>
        <v>2747.4290000000001</v>
      </c>
      <c r="K18" s="509">
        <f t="shared" si="3"/>
        <v>1455.415</v>
      </c>
      <c r="L18" s="509">
        <f t="shared" si="3"/>
        <v>1292.51</v>
      </c>
      <c r="M18" s="509">
        <f t="shared" si="3"/>
        <v>1367.9430000000002</v>
      </c>
      <c r="N18" s="509">
        <f t="shared" si="3"/>
        <v>1727.21</v>
      </c>
      <c r="O18" s="509">
        <f t="shared" si="3"/>
        <v>1200</v>
      </c>
      <c r="P18" s="509">
        <f t="shared" si="3"/>
        <v>1090</v>
      </c>
      <c r="Q18" s="509">
        <f t="shared" si="3"/>
        <v>1035</v>
      </c>
      <c r="R18" s="509">
        <f t="shared" si="3"/>
        <v>950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509">
        <f>SUM(H21:H26)</f>
        <v>2243.0070000000001</v>
      </c>
      <c r="I19" s="509">
        <f t="shared" ref="I19:R19" si="4">SUM(I21:I26)</f>
        <v>2795.4989999999998</v>
      </c>
      <c r="J19" s="509">
        <f t="shared" si="4"/>
        <v>2575.223</v>
      </c>
      <c r="K19" s="509">
        <f t="shared" si="4"/>
        <v>1276.047</v>
      </c>
      <c r="L19" s="509">
        <f t="shared" si="4"/>
        <v>841.14099999999996</v>
      </c>
      <c r="M19" s="509">
        <f t="shared" si="4"/>
        <v>1033.873</v>
      </c>
      <c r="N19" s="509">
        <f t="shared" si="4"/>
        <v>1254</v>
      </c>
      <c r="O19" s="509">
        <f t="shared" si="4"/>
        <v>794</v>
      </c>
      <c r="P19" s="509">
        <f t="shared" si="4"/>
        <v>684</v>
      </c>
      <c r="Q19" s="509">
        <f t="shared" si="4"/>
        <v>629</v>
      </c>
      <c r="R19" s="509">
        <f t="shared" si="4"/>
        <v>544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512">
        <v>2243.0039999999999</v>
      </c>
      <c r="I20" s="512">
        <v>2795.4989999999998</v>
      </c>
      <c r="J20" s="512">
        <v>2575.223</v>
      </c>
      <c r="K20" s="512">
        <v>1276.047</v>
      </c>
      <c r="L20" s="512">
        <v>841.14099999999996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510">
        <v>2243.0070000000001</v>
      </c>
      <c r="I21" s="510">
        <v>2795.4989999999998</v>
      </c>
      <c r="J21" s="510">
        <v>2575.223</v>
      </c>
      <c r="K21" s="510">
        <v>1276.047</v>
      </c>
      <c r="L21" s="510">
        <v>841.14099999999996</v>
      </c>
      <c r="M21" s="510">
        <v>1033.873</v>
      </c>
      <c r="N21" s="510">
        <v>1254</v>
      </c>
      <c r="O21" s="510">
        <v>794</v>
      </c>
      <c r="P21" s="510">
        <v>684</v>
      </c>
      <c r="Q21" s="510">
        <v>629</v>
      </c>
      <c r="R21" s="510">
        <v>544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510">
        <v>0</v>
      </c>
      <c r="I22" s="510">
        <v>0</v>
      </c>
      <c r="J22" s="510">
        <v>0</v>
      </c>
      <c r="K22" s="510">
        <v>0</v>
      </c>
      <c r="L22" s="510">
        <v>0</v>
      </c>
      <c r="M22" s="510">
        <v>0</v>
      </c>
      <c r="N22" s="510">
        <v>0</v>
      </c>
      <c r="O22" s="510">
        <v>0</v>
      </c>
      <c r="P22" s="510">
        <v>0</v>
      </c>
      <c r="Q22" s="510">
        <v>0</v>
      </c>
      <c r="R22" s="510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510">
        <v>0</v>
      </c>
      <c r="I23" s="510">
        <v>0</v>
      </c>
      <c r="J23" s="510">
        <v>0</v>
      </c>
      <c r="K23" s="510">
        <v>0</v>
      </c>
      <c r="L23" s="510">
        <v>0</v>
      </c>
      <c r="M23" s="510">
        <v>0</v>
      </c>
      <c r="N23" s="510">
        <v>0</v>
      </c>
      <c r="O23" s="510">
        <v>0</v>
      </c>
      <c r="P23" s="510">
        <v>0</v>
      </c>
      <c r="Q23" s="510">
        <v>0</v>
      </c>
      <c r="R23" s="510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510">
        <v>0</v>
      </c>
      <c r="I24" s="510">
        <v>0</v>
      </c>
      <c r="J24" s="510">
        <v>0</v>
      </c>
      <c r="K24" s="510">
        <v>0</v>
      </c>
      <c r="L24" s="510">
        <v>0</v>
      </c>
      <c r="M24" s="510">
        <v>0</v>
      </c>
      <c r="N24" s="510">
        <v>0</v>
      </c>
      <c r="O24" s="510">
        <v>0</v>
      </c>
      <c r="P24" s="510">
        <v>0</v>
      </c>
      <c r="Q24" s="510">
        <v>0</v>
      </c>
      <c r="R24" s="510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510">
        <v>0</v>
      </c>
      <c r="I25" s="510">
        <v>0</v>
      </c>
      <c r="J25" s="510">
        <v>0</v>
      </c>
      <c r="K25" s="510">
        <v>0</v>
      </c>
      <c r="L25" s="510">
        <v>0</v>
      </c>
      <c r="M25" s="510">
        <v>0</v>
      </c>
      <c r="N25" s="510">
        <v>0</v>
      </c>
      <c r="O25" s="510">
        <v>0</v>
      </c>
      <c r="P25" s="510">
        <v>0</v>
      </c>
      <c r="Q25" s="510">
        <v>0</v>
      </c>
      <c r="R25" s="510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510">
        <v>0</v>
      </c>
      <c r="I26" s="510">
        <v>0</v>
      </c>
      <c r="J26" s="510">
        <v>0</v>
      </c>
      <c r="K26" s="510">
        <v>0</v>
      </c>
      <c r="L26" s="510">
        <v>0</v>
      </c>
      <c r="M26" s="510">
        <v>0</v>
      </c>
      <c r="N26" s="510">
        <v>0</v>
      </c>
      <c r="O26" s="510">
        <v>0</v>
      </c>
      <c r="P26" s="510">
        <v>0</v>
      </c>
      <c r="Q26" s="510">
        <v>0</v>
      </c>
      <c r="R26" s="510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509">
        <f>SUM(H28:H30)</f>
        <v>259.18299999999999</v>
      </c>
      <c r="I27" s="509">
        <f t="shared" ref="I27:R27" si="5">SUM(I28:I30)</f>
        <v>175.62599999999998</v>
      </c>
      <c r="J27" s="509">
        <f t="shared" si="5"/>
        <v>172.20599999999999</v>
      </c>
      <c r="K27" s="509">
        <f t="shared" si="5"/>
        <v>179.36799999999999</v>
      </c>
      <c r="L27" s="509">
        <f t="shared" si="5"/>
        <v>451.36899999999997</v>
      </c>
      <c r="M27" s="509">
        <f t="shared" si="5"/>
        <v>334.07000000000005</v>
      </c>
      <c r="N27" s="509">
        <f t="shared" si="5"/>
        <v>473.21</v>
      </c>
      <c r="O27" s="509">
        <f t="shared" si="5"/>
        <v>406</v>
      </c>
      <c r="P27" s="509">
        <f t="shared" si="5"/>
        <v>406</v>
      </c>
      <c r="Q27" s="509">
        <f t="shared" si="5"/>
        <v>406</v>
      </c>
      <c r="R27" s="509">
        <f t="shared" si="5"/>
        <v>406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510">
        <v>0</v>
      </c>
      <c r="I28" s="510">
        <v>0</v>
      </c>
      <c r="J28" s="510">
        <v>0</v>
      </c>
      <c r="K28" s="510">
        <v>0</v>
      </c>
      <c r="L28" s="510">
        <v>0</v>
      </c>
      <c r="M28" s="510">
        <v>0</v>
      </c>
      <c r="N28" s="510">
        <v>0</v>
      </c>
      <c r="O28" s="510">
        <v>0</v>
      </c>
      <c r="P28" s="510">
        <v>0</v>
      </c>
      <c r="Q28" s="510">
        <v>0</v>
      </c>
      <c r="R28" s="510">
        <v>0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510">
        <v>330.303</v>
      </c>
      <c r="I29" s="510">
        <f>H29+H30</f>
        <v>259.18299999999999</v>
      </c>
      <c r="J29" s="510">
        <v>175.625</v>
      </c>
      <c r="K29" s="510">
        <v>172.20599999999999</v>
      </c>
      <c r="L29" s="510">
        <v>179.36799999999999</v>
      </c>
      <c r="M29" s="510">
        <v>451.36900000000003</v>
      </c>
      <c r="N29" s="510">
        <v>334.07</v>
      </c>
      <c r="O29" s="510">
        <v>473</v>
      </c>
      <c r="P29" s="510">
        <v>406</v>
      </c>
      <c r="Q29" s="510">
        <v>406</v>
      </c>
      <c r="R29" s="510">
        <v>406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510">
        <v>-71.12</v>
      </c>
      <c r="I30" s="510">
        <v>-83.557000000000002</v>
      </c>
      <c r="J30" s="510">
        <v>-3.419</v>
      </c>
      <c r="K30" s="510">
        <v>7.1619999999999999</v>
      </c>
      <c r="L30" s="510">
        <v>272.00099999999998</v>
      </c>
      <c r="M30" s="510">
        <v>-117.29900000000001</v>
      </c>
      <c r="N30" s="510">
        <v>139.13999999999999</v>
      </c>
      <c r="O30" s="510">
        <v>-67</v>
      </c>
      <c r="P30" s="510">
        <v>0</v>
      </c>
      <c r="Q30" s="510">
        <v>0</v>
      </c>
      <c r="R30" s="510">
        <v>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513">
        <f t="shared" ref="H31:R31" si="6">H4-H18</f>
        <v>-2.0000000004074536E-3</v>
      </c>
      <c r="I31" s="513">
        <f t="shared" si="6"/>
        <v>-1.0000000002037268E-3</v>
      </c>
      <c r="J31" s="513">
        <f t="shared" si="6"/>
        <v>1.0000000002037268E-3</v>
      </c>
      <c r="K31" s="513">
        <f t="shared" si="6"/>
        <v>0</v>
      </c>
      <c r="L31" s="513">
        <f t="shared" si="6"/>
        <v>9.9999999997635314E-4</v>
      </c>
      <c r="M31" s="513">
        <f t="shared" si="6"/>
        <v>0.17699999999967986</v>
      </c>
      <c r="N31" s="513">
        <f t="shared" si="6"/>
        <v>0.42200000000002547</v>
      </c>
      <c r="O31" s="513">
        <f>O4-O18</f>
        <v>0</v>
      </c>
      <c r="P31" s="513">
        <f t="shared" si="6"/>
        <v>0</v>
      </c>
      <c r="Q31" s="513">
        <f t="shared" si="6"/>
        <v>0</v>
      </c>
      <c r="R31" s="513">
        <f t="shared" si="6"/>
        <v>0</v>
      </c>
      <c r="S31" s="4"/>
    </row>
    <row r="32" spans="1:19" x14ac:dyDescent="0.2">
      <c r="G32" s="506" t="s">
        <v>78</v>
      </c>
      <c r="H32" s="514">
        <v>2011</v>
      </c>
      <c r="I32" s="514">
        <f t="shared" ref="I32:R32" si="7">H32+1</f>
        <v>2012</v>
      </c>
      <c r="J32" s="514">
        <f t="shared" si="7"/>
        <v>2013</v>
      </c>
      <c r="K32" s="514">
        <f t="shared" si="7"/>
        <v>2014</v>
      </c>
      <c r="L32" s="514">
        <f t="shared" si="7"/>
        <v>2015</v>
      </c>
      <c r="M32" s="514">
        <f t="shared" si="7"/>
        <v>2016</v>
      </c>
      <c r="N32" s="514">
        <f t="shared" si="7"/>
        <v>2017</v>
      </c>
      <c r="O32" s="514">
        <f t="shared" si="7"/>
        <v>2018</v>
      </c>
      <c r="P32" s="514">
        <f t="shared" si="7"/>
        <v>2019</v>
      </c>
      <c r="Q32" s="514">
        <f t="shared" si="7"/>
        <v>2020</v>
      </c>
      <c r="R32" s="514">
        <f t="shared" si="7"/>
        <v>2021</v>
      </c>
    </row>
    <row r="33" spans="1:18" x14ac:dyDescent="0.2">
      <c r="B33" s="2" t="s">
        <v>79</v>
      </c>
      <c r="C33" s="19">
        <v>3</v>
      </c>
      <c r="G33" s="508" t="s">
        <v>80</v>
      </c>
      <c r="H33" s="509">
        <f>SUM(H34:H37)</f>
        <v>3621.4169999999999</v>
      </c>
      <c r="I33" s="509">
        <f t="shared" ref="I33:R33" si="8">SUM(I34:I37)</f>
        <v>4004.1970000000001</v>
      </c>
      <c r="J33" s="509">
        <f t="shared" si="8"/>
        <v>4245.6639999999998</v>
      </c>
      <c r="K33" s="509">
        <f t="shared" si="8"/>
        <v>3544.1880000000001</v>
      </c>
      <c r="L33" s="509">
        <f t="shared" si="8"/>
        <v>2525.4639999999999</v>
      </c>
      <c r="M33" s="509">
        <f t="shared" si="8"/>
        <v>3443.5839999999998</v>
      </c>
      <c r="N33" s="509">
        <f t="shared" si="8"/>
        <v>4770</v>
      </c>
      <c r="O33" s="509">
        <f t="shared" si="8"/>
        <v>3599</v>
      </c>
      <c r="P33" s="509">
        <f t="shared" si="8"/>
        <v>3076</v>
      </c>
      <c r="Q33" s="509">
        <f t="shared" si="8"/>
        <v>2938</v>
      </c>
      <c r="R33" s="509">
        <f t="shared" si="8"/>
        <v>2599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510">
        <v>0</v>
      </c>
      <c r="I34" s="510">
        <v>0</v>
      </c>
      <c r="J34" s="510">
        <v>0</v>
      </c>
      <c r="K34" s="510">
        <v>0</v>
      </c>
      <c r="L34" s="510">
        <v>0</v>
      </c>
      <c r="M34" s="510">
        <v>0</v>
      </c>
      <c r="N34" s="510">
        <v>0</v>
      </c>
      <c r="O34" s="510">
        <v>0</v>
      </c>
      <c r="P34" s="510">
        <v>0</v>
      </c>
      <c r="Q34" s="510">
        <v>0</v>
      </c>
      <c r="R34" s="510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510">
        <v>0</v>
      </c>
      <c r="I35" s="510">
        <v>0</v>
      </c>
      <c r="J35" s="510">
        <v>0</v>
      </c>
      <c r="K35" s="510">
        <v>0</v>
      </c>
      <c r="L35" s="510">
        <v>0</v>
      </c>
      <c r="M35" s="510">
        <v>0</v>
      </c>
      <c r="N35" s="510">
        <v>6</v>
      </c>
      <c r="O35" s="510">
        <v>0</v>
      </c>
      <c r="P35" s="510">
        <v>0</v>
      </c>
      <c r="Q35" s="510">
        <v>0</v>
      </c>
      <c r="R35" s="510">
        <v>0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510">
        <v>3621.4169999999999</v>
      </c>
      <c r="I36" s="510">
        <v>4003.8290000000002</v>
      </c>
      <c r="J36" s="510">
        <v>4245.6639999999998</v>
      </c>
      <c r="K36" s="510">
        <v>3544.0540000000001</v>
      </c>
      <c r="L36" s="510">
        <v>2525.364</v>
      </c>
      <c r="M36" s="510">
        <v>3443.5839999999998</v>
      </c>
      <c r="N36" s="510">
        <v>4764</v>
      </c>
      <c r="O36" s="510">
        <v>3599</v>
      </c>
      <c r="P36" s="510">
        <v>3076</v>
      </c>
      <c r="Q36" s="510">
        <v>2938</v>
      </c>
      <c r="R36" s="510">
        <v>2599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510">
        <v>0</v>
      </c>
      <c r="I37" s="510">
        <v>0.36799999999999999</v>
      </c>
      <c r="J37" s="510">
        <v>0</v>
      </c>
      <c r="K37" s="510">
        <v>0.13400000000000001</v>
      </c>
      <c r="L37" s="510">
        <v>0.1</v>
      </c>
      <c r="M37" s="510">
        <v>0</v>
      </c>
      <c r="N37" s="510">
        <v>0</v>
      </c>
      <c r="O37" s="510">
        <v>0</v>
      </c>
      <c r="P37" s="510">
        <v>0</v>
      </c>
      <c r="Q37" s="510">
        <v>0</v>
      </c>
      <c r="R37" s="510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509">
        <f>H39+H40</f>
        <v>-2510.4589999999998</v>
      </c>
      <c r="I38" s="509">
        <f t="shared" ref="I38:R38" si="9">I39+I40</f>
        <v>-2730.9989999999998</v>
      </c>
      <c r="J38" s="509">
        <f t="shared" si="9"/>
        <v>-3280.5679999999998</v>
      </c>
      <c r="K38" s="509">
        <f t="shared" si="9"/>
        <v>-2724.5239999999999</v>
      </c>
      <c r="L38" s="509">
        <f t="shared" si="9"/>
        <v>-1416.4560000000001</v>
      </c>
      <c r="M38" s="509">
        <f t="shared" si="9"/>
        <v>-1318.596</v>
      </c>
      <c r="N38" s="509">
        <f t="shared" si="9"/>
        <v>-1303.798</v>
      </c>
      <c r="O38" s="509">
        <f t="shared" si="9"/>
        <v>-982</v>
      </c>
      <c r="P38" s="509">
        <f t="shared" si="9"/>
        <v>-982</v>
      </c>
      <c r="Q38" s="509">
        <f t="shared" si="9"/>
        <v>-982</v>
      </c>
      <c r="R38" s="509">
        <f t="shared" si="9"/>
        <v>-982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510">
        <v>-83.090999999999994</v>
      </c>
      <c r="I39" s="510">
        <v>0</v>
      </c>
      <c r="J39" s="510">
        <v>-96.24</v>
      </c>
      <c r="K39" s="510">
        <v>-81.149000000000001</v>
      </c>
      <c r="L39" s="510">
        <v>-93.103999999999999</v>
      </c>
      <c r="M39" s="510">
        <v>-64.247</v>
      </c>
      <c r="N39" s="510">
        <v>-77</v>
      </c>
      <c r="O39" s="510">
        <v>-77</v>
      </c>
      <c r="P39" s="510">
        <v>-77</v>
      </c>
      <c r="Q39" s="510">
        <v>-77</v>
      </c>
      <c r="R39" s="510">
        <v>-77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510">
        <v>-2427.3679999999999</v>
      </c>
      <c r="I40" s="510">
        <v>-2730.9989999999998</v>
      </c>
      <c r="J40" s="510">
        <v>-3184.328</v>
      </c>
      <c r="K40" s="510">
        <v>-2643.375</v>
      </c>
      <c r="L40" s="510">
        <v>-1323.3520000000001</v>
      </c>
      <c r="M40" s="510">
        <v>-1254.3489999999999</v>
      </c>
      <c r="N40" s="510">
        <v>-1226.798</v>
      </c>
      <c r="O40" s="510">
        <v>-905</v>
      </c>
      <c r="P40" s="510">
        <v>-905</v>
      </c>
      <c r="Q40" s="510">
        <v>-905</v>
      </c>
      <c r="R40" s="510">
        <v>-905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509">
        <f>SUM(H42:H45)</f>
        <v>-1185.538</v>
      </c>
      <c r="I41" s="509">
        <f t="shared" ref="I41:R41" si="10">SUM(I42:I45)</f>
        <v>-1358.0119999999999</v>
      </c>
      <c r="J41" s="509">
        <f t="shared" si="10"/>
        <v>-966.04899999999998</v>
      </c>
      <c r="K41" s="509">
        <f t="shared" si="10"/>
        <v>-813.20900000000006</v>
      </c>
      <c r="L41" s="509">
        <f t="shared" si="10"/>
        <v>-839.84400000000016</v>
      </c>
      <c r="M41" s="509">
        <f t="shared" si="10"/>
        <v>-2244.8220000000001</v>
      </c>
      <c r="N41" s="509">
        <f t="shared" si="10"/>
        <v>-3327.08</v>
      </c>
      <c r="O41" s="509">
        <f t="shared" si="10"/>
        <v>-2683.788</v>
      </c>
      <c r="P41" s="509">
        <f t="shared" si="10"/>
        <v>-2094</v>
      </c>
      <c r="Q41" s="509">
        <f t="shared" si="10"/>
        <v>-1956</v>
      </c>
      <c r="R41" s="509">
        <f t="shared" si="10"/>
        <v>-1617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510">
        <v>-734.89200000000005</v>
      </c>
      <c r="I42" s="510">
        <v>-762.10199999999998</v>
      </c>
      <c r="J42" s="510">
        <v>-566.56100000000004</v>
      </c>
      <c r="K42" s="510">
        <v>-480.04899999999998</v>
      </c>
      <c r="L42" s="510">
        <v>-537.36</v>
      </c>
      <c r="M42" s="510">
        <v>-626.37400000000002</v>
      </c>
      <c r="N42" s="510">
        <v>-611</v>
      </c>
      <c r="O42" s="510">
        <v>-700</v>
      </c>
      <c r="P42" s="510">
        <v>-610</v>
      </c>
      <c r="Q42" s="510">
        <v>-610</v>
      </c>
      <c r="R42" s="510">
        <v>-610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510">
        <v>-266.279</v>
      </c>
      <c r="I43" s="510">
        <v>-363.57299999999998</v>
      </c>
      <c r="J43" s="510">
        <v>-278.73599999999999</v>
      </c>
      <c r="K43" s="510">
        <v>-232.13</v>
      </c>
      <c r="L43" s="510">
        <v>-252.07900000000001</v>
      </c>
      <c r="M43" s="510">
        <v>-1415.6780000000001</v>
      </c>
      <c r="N43" s="510">
        <v>-2446</v>
      </c>
      <c r="O43" s="510">
        <v>-1746.788</v>
      </c>
      <c r="P43" s="510">
        <v>-1321</v>
      </c>
      <c r="Q43" s="510">
        <v>-1198</v>
      </c>
      <c r="R43" s="510">
        <v>-896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510">
        <v>-109.78700000000001</v>
      </c>
      <c r="I44" s="510">
        <v>-166.76599999999999</v>
      </c>
      <c r="J44" s="510">
        <v>-95.852999999999994</v>
      </c>
      <c r="K44" s="510">
        <v>-84.781999999999996</v>
      </c>
      <c r="L44" s="510">
        <v>-46.94</v>
      </c>
      <c r="M44" s="510">
        <v>-195.42500000000001</v>
      </c>
      <c r="N44" s="510">
        <v>-270.08</v>
      </c>
      <c r="O44" s="510">
        <v>-237</v>
      </c>
      <c r="P44" s="510">
        <v>-163</v>
      </c>
      <c r="Q44" s="510">
        <v>-148</v>
      </c>
      <c r="R44" s="510">
        <v>-111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510">
        <v>-74.58</v>
      </c>
      <c r="I45" s="510">
        <v>-65.570999999999998</v>
      </c>
      <c r="J45" s="510">
        <v>-24.899000000000001</v>
      </c>
      <c r="K45" s="510">
        <v>-16.248000000000001</v>
      </c>
      <c r="L45" s="510">
        <v>-3.4649999999999999</v>
      </c>
      <c r="M45" s="510">
        <v>-7.3449999999999998</v>
      </c>
      <c r="N45" s="510">
        <v>0</v>
      </c>
      <c r="O45" s="510">
        <v>0</v>
      </c>
      <c r="P45" s="510">
        <v>0</v>
      </c>
      <c r="Q45" s="510">
        <v>0</v>
      </c>
      <c r="R45" s="510">
        <v>0</v>
      </c>
    </row>
    <row r="46" spans="1:18" x14ac:dyDescent="0.2">
      <c r="B46" s="2" t="s">
        <v>107</v>
      </c>
      <c r="G46" s="18" t="s">
        <v>108</v>
      </c>
      <c r="H46" s="509">
        <f>H33+H38+H41</f>
        <v>-74.579999999999927</v>
      </c>
      <c r="I46" s="509">
        <f t="shared" ref="I46:R46" si="11">I33+I38+I41</f>
        <v>-84.813999999999623</v>
      </c>
      <c r="J46" s="509">
        <f t="shared" si="11"/>
        <v>-0.95299999999997453</v>
      </c>
      <c r="K46" s="509">
        <f t="shared" si="11"/>
        <v>6.4550000000001546</v>
      </c>
      <c r="L46" s="509">
        <f t="shared" si="11"/>
        <v>269.16399999999965</v>
      </c>
      <c r="M46" s="509">
        <f t="shared" si="11"/>
        <v>-119.83400000000029</v>
      </c>
      <c r="N46" s="509">
        <f t="shared" si="11"/>
        <v>139.1220000000003</v>
      </c>
      <c r="O46" s="509">
        <f t="shared" si="11"/>
        <v>-66.788000000000011</v>
      </c>
      <c r="P46" s="509">
        <f t="shared" si="11"/>
        <v>0</v>
      </c>
      <c r="Q46" s="509">
        <f t="shared" si="11"/>
        <v>0</v>
      </c>
      <c r="R46" s="509">
        <f t="shared" si="11"/>
        <v>0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510">
        <v>3.46</v>
      </c>
      <c r="I47" s="510">
        <v>1.2569999999999999</v>
      </c>
      <c r="J47" s="510">
        <v>-2.4670000000000001</v>
      </c>
      <c r="K47" s="510">
        <v>0.70799999999999996</v>
      </c>
      <c r="L47" s="510">
        <v>2.3860000000000001</v>
      </c>
      <c r="M47" s="510">
        <v>2.5369999999999999</v>
      </c>
      <c r="N47" s="510">
        <v>0</v>
      </c>
      <c r="O47" s="510">
        <v>0</v>
      </c>
      <c r="P47" s="510">
        <v>0</v>
      </c>
      <c r="Q47" s="510">
        <v>0</v>
      </c>
      <c r="R47" s="510">
        <v>0</v>
      </c>
    </row>
    <row r="48" spans="1:18" x14ac:dyDescent="0.2">
      <c r="B48" s="2" t="s">
        <v>111</v>
      </c>
      <c r="G48" s="18" t="s">
        <v>112</v>
      </c>
      <c r="H48" s="509">
        <f>H46+H47</f>
        <v>-71.119999999999933</v>
      </c>
      <c r="I48" s="509">
        <f t="shared" ref="I48:R48" si="12">I46+I47</f>
        <v>-83.556999999999618</v>
      </c>
      <c r="J48" s="509">
        <f t="shared" si="12"/>
        <v>-3.4199999999999746</v>
      </c>
      <c r="K48" s="509">
        <f t="shared" si="12"/>
        <v>7.1630000000001548</v>
      </c>
      <c r="L48" s="509">
        <f t="shared" si="12"/>
        <v>271.54999999999967</v>
      </c>
      <c r="M48" s="509">
        <f t="shared" si="12"/>
        <v>-117.29700000000028</v>
      </c>
      <c r="N48" s="509">
        <f t="shared" si="12"/>
        <v>139.1220000000003</v>
      </c>
      <c r="O48" s="509">
        <f t="shared" si="12"/>
        <v>-66.788000000000011</v>
      </c>
      <c r="P48" s="509">
        <f t="shared" si="12"/>
        <v>0</v>
      </c>
      <c r="Q48" s="509">
        <f t="shared" si="12"/>
        <v>0</v>
      </c>
      <c r="R48" s="509">
        <f t="shared" si="12"/>
        <v>0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510">
        <v>0</v>
      </c>
      <c r="I49" s="510">
        <v>0</v>
      </c>
      <c r="J49" s="510">
        <v>0</v>
      </c>
      <c r="K49" s="510">
        <v>0</v>
      </c>
      <c r="L49" s="510">
        <v>0</v>
      </c>
      <c r="M49" s="510">
        <v>0</v>
      </c>
      <c r="N49" s="510">
        <v>0</v>
      </c>
      <c r="O49" s="510">
        <v>0</v>
      </c>
      <c r="P49" s="510">
        <v>0</v>
      </c>
      <c r="Q49" s="510">
        <v>0</v>
      </c>
      <c r="R49" s="510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510">
        <v>0</v>
      </c>
      <c r="I50" s="510">
        <v>0</v>
      </c>
      <c r="J50" s="510">
        <v>0</v>
      </c>
      <c r="K50" s="510">
        <v>0</v>
      </c>
      <c r="L50" s="510">
        <v>0</v>
      </c>
      <c r="M50" s="510">
        <v>0</v>
      </c>
      <c r="N50" s="510">
        <v>0</v>
      </c>
      <c r="O50" s="510">
        <v>0</v>
      </c>
      <c r="P50" s="510">
        <v>0</v>
      </c>
      <c r="Q50" s="510">
        <v>0</v>
      </c>
      <c r="R50" s="510">
        <v>0</v>
      </c>
    </row>
    <row r="51" spans="1:18" x14ac:dyDescent="0.2">
      <c r="B51" s="2" t="s">
        <v>117</v>
      </c>
      <c r="G51" s="18" t="s">
        <v>118</v>
      </c>
      <c r="H51" s="509">
        <f>H48+H49+H50</f>
        <v>-71.119999999999933</v>
      </c>
      <c r="I51" s="509">
        <f t="shared" ref="I51:R51" si="13">I48+I49+I50</f>
        <v>-83.556999999999618</v>
      </c>
      <c r="J51" s="509">
        <f t="shared" si="13"/>
        <v>-3.4199999999999746</v>
      </c>
      <c r="K51" s="509">
        <f t="shared" si="13"/>
        <v>7.1630000000001548</v>
      </c>
      <c r="L51" s="509">
        <f t="shared" si="13"/>
        <v>271.54999999999967</v>
      </c>
      <c r="M51" s="509">
        <f t="shared" si="13"/>
        <v>-117.29700000000028</v>
      </c>
      <c r="N51" s="509">
        <f t="shared" si="13"/>
        <v>139.1220000000003</v>
      </c>
      <c r="O51" s="509">
        <f t="shared" si="13"/>
        <v>-66.788000000000011</v>
      </c>
      <c r="P51" s="509">
        <f t="shared" si="13"/>
        <v>0</v>
      </c>
      <c r="Q51" s="509">
        <f t="shared" si="13"/>
        <v>0</v>
      </c>
      <c r="R51" s="509">
        <f t="shared" si="13"/>
        <v>0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513">
        <f>H30-H51</f>
        <v>0</v>
      </c>
      <c r="I52" s="513">
        <f t="shared" ref="I52:R52" si="14">I30-I51</f>
        <v>-3.836930773104541E-13</v>
      </c>
      <c r="J52" s="513">
        <f t="shared" si="14"/>
        <v>9.9999999997457678E-4</v>
      </c>
      <c r="K52" s="513">
        <f t="shared" si="14"/>
        <v>-1.000000000154877E-3</v>
      </c>
      <c r="L52" s="513">
        <f t="shared" si="14"/>
        <v>0.45100000000030604</v>
      </c>
      <c r="M52" s="513">
        <f t="shared" si="14"/>
        <v>-1.9999999997253326E-3</v>
      </c>
      <c r="N52" s="513">
        <f t="shared" si="14"/>
        <v>1.7999999999688043E-2</v>
      </c>
      <c r="O52" s="513">
        <f t="shared" si="14"/>
        <v>-0.21199999999998909</v>
      </c>
      <c r="P52" s="513">
        <f t="shared" si="14"/>
        <v>0</v>
      </c>
      <c r="Q52" s="513">
        <f t="shared" si="14"/>
        <v>0</v>
      </c>
      <c r="R52" s="513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510">
        <v>37</v>
      </c>
      <c r="I54" s="510">
        <v>36</v>
      </c>
      <c r="J54" s="510">
        <v>24</v>
      </c>
      <c r="K54" s="510">
        <v>18</v>
      </c>
      <c r="L54" s="510">
        <v>19</v>
      </c>
      <c r="M54" s="510">
        <v>21.7</v>
      </c>
      <c r="N54" s="510">
        <v>23</v>
      </c>
      <c r="O54" s="510">
        <v>23</v>
      </c>
      <c r="P54" s="510">
        <v>23</v>
      </c>
      <c r="Q54" s="510">
        <v>23</v>
      </c>
      <c r="R54" s="510">
        <v>23</v>
      </c>
    </row>
    <row r="55" spans="1:18" ht="12" x14ac:dyDescent="0.2">
      <c r="E55" s="20" t="s">
        <v>14</v>
      </c>
      <c r="G55" s="46" t="s">
        <v>122</v>
      </c>
      <c r="H55" s="510"/>
      <c r="I55" s="510"/>
      <c r="J55" s="510"/>
      <c r="K55" s="510"/>
      <c r="L55" s="515"/>
      <c r="M55" s="515"/>
      <c r="N55" s="515"/>
      <c r="O55" s="515"/>
      <c r="P55" s="515"/>
      <c r="Q55" s="515"/>
      <c r="R55" s="515"/>
    </row>
    <row r="57" spans="1:18" x14ac:dyDescent="0.2">
      <c r="D57" s="49" t="s">
        <v>123</v>
      </c>
      <c r="E57" s="50" t="s">
        <v>3</v>
      </c>
      <c r="F57" s="17"/>
      <c r="G57" s="506" t="s">
        <v>124</v>
      </c>
      <c r="H57" s="514">
        <f>H32</f>
        <v>2011</v>
      </c>
      <c r="I57" s="514">
        <f t="shared" ref="I57:R57" si="15">I32</f>
        <v>2012</v>
      </c>
      <c r="J57" s="514">
        <f t="shared" si="15"/>
        <v>2013</v>
      </c>
      <c r="K57" s="514">
        <f t="shared" si="15"/>
        <v>2014</v>
      </c>
      <c r="L57" s="514">
        <f t="shared" si="15"/>
        <v>2015</v>
      </c>
      <c r="M57" s="514">
        <f t="shared" si="15"/>
        <v>2016</v>
      </c>
      <c r="N57" s="514">
        <f t="shared" si="15"/>
        <v>2017</v>
      </c>
      <c r="O57" s="514">
        <f t="shared" si="15"/>
        <v>2018</v>
      </c>
      <c r="P57" s="514">
        <f t="shared" si="15"/>
        <v>2019</v>
      </c>
      <c r="Q57" s="514">
        <f t="shared" si="15"/>
        <v>2020</v>
      </c>
      <c r="R57" s="514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508" t="s">
        <v>128</v>
      </c>
      <c r="H58" s="510">
        <v>0</v>
      </c>
      <c r="I58" s="510">
        <v>-2.4649999999999999</v>
      </c>
      <c r="J58" s="510">
        <v>-13.58</v>
      </c>
      <c r="K58" s="510">
        <v>-5.226</v>
      </c>
      <c r="L58" s="510">
        <v>0</v>
      </c>
      <c r="M58" s="510">
        <v>0</v>
      </c>
      <c r="N58" s="510">
        <v>0</v>
      </c>
      <c r="O58" s="510">
        <v>0</v>
      </c>
      <c r="P58" s="510">
        <v>0</v>
      </c>
      <c r="Q58" s="510">
        <v>0</v>
      </c>
      <c r="R58" s="510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510">
        <v>0</v>
      </c>
      <c r="I59" s="510">
        <v>0</v>
      </c>
      <c r="J59" s="510">
        <v>0</v>
      </c>
      <c r="K59" s="510">
        <v>0</v>
      </c>
      <c r="L59" s="510">
        <v>0</v>
      </c>
      <c r="M59" s="510">
        <v>0</v>
      </c>
      <c r="N59" s="510">
        <v>0</v>
      </c>
      <c r="O59" s="510">
        <v>0</v>
      </c>
      <c r="P59" s="510">
        <v>0</v>
      </c>
      <c r="Q59" s="510">
        <v>0</v>
      </c>
      <c r="R59" s="510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510">
        <v>0</v>
      </c>
      <c r="I60" s="510">
        <v>0</v>
      </c>
      <c r="J60" s="510">
        <v>0</v>
      </c>
      <c r="K60" s="510">
        <v>0</v>
      </c>
      <c r="L60" s="510">
        <v>0</v>
      </c>
      <c r="M60" s="510">
        <v>0</v>
      </c>
      <c r="N60" s="510">
        <v>0</v>
      </c>
      <c r="O60" s="510">
        <v>0</v>
      </c>
      <c r="P60" s="510">
        <v>0</v>
      </c>
      <c r="Q60" s="510">
        <v>0</v>
      </c>
      <c r="R60" s="510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510">
        <v>0</v>
      </c>
      <c r="I61" s="510">
        <v>0</v>
      </c>
      <c r="J61" s="510">
        <v>0</v>
      </c>
      <c r="K61" s="510">
        <v>0</v>
      </c>
      <c r="L61" s="510">
        <v>0</v>
      </c>
      <c r="M61" s="510">
        <v>0</v>
      </c>
      <c r="N61" s="510">
        <v>0</v>
      </c>
      <c r="O61" s="510">
        <v>0</v>
      </c>
      <c r="P61" s="510">
        <v>0</v>
      </c>
      <c r="Q61" s="510">
        <v>0</v>
      </c>
      <c r="R61" s="510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510">
        <v>0</v>
      </c>
      <c r="I62" s="510">
        <v>0</v>
      </c>
      <c r="J62" s="510">
        <v>0</v>
      </c>
      <c r="K62" s="510">
        <v>0</v>
      </c>
      <c r="L62" s="510">
        <v>0</v>
      </c>
      <c r="M62" s="510">
        <v>0</v>
      </c>
      <c r="N62" s="510">
        <v>0</v>
      </c>
      <c r="O62" s="510">
        <v>0</v>
      </c>
      <c r="P62" s="510">
        <v>0</v>
      </c>
      <c r="Q62" s="510">
        <v>0</v>
      </c>
      <c r="R62" s="510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510">
        <v>0</v>
      </c>
      <c r="I63" s="510">
        <v>0</v>
      </c>
      <c r="J63" s="510">
        <v>0</v>
      </c>
      <c r="K63" s="510">
        <v>0</v>
      </c>
      <c r="L63" s="510">
        <v>0</v>
      </c>
      <c r="M63" s="510">
        <v>0</v>
      </c>
      <c r="N63" s="510">
        <v>0</v>
      </c>
      <c r="O63" s="510">
        <v>0</v>
      </c>
      <c r="P63" s="510">
        <v>0</v>
      </c>
      <c r="Q63" s="510">
        <v>0</v>
      </c>
      <c r="R63" s="510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510">
        <v>0</v>
      </c>
      <c r="I64" s="510">
        <v>0</v>
      </c>
      <c r="J64" s="510">
        <v>0</v>
      </c>
      <c r="K64" s="510">
        <v>0</v>
      </c>
      <c r="L64" s="510">
        <v>0</v>
      </c>
      <c r="M64" s="510">
        <v>0</v>
      </c>
      <c r="N64" s="510">
        <v>0</v>
      </c>
      <c r="O64" s="510">
        <v>0</v>
      </c>
      <c r="P64" s="510">
        <v>0</v>
      </c>
      <c r="Q64" s="510">
        <v>0</v>
      </c>
      <c r="R64" s="510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510">
        <v>0</v>
      </c>
      <c r="I65" s="510">
        <v>0</v>
      </c>
      <c r="J65" s="510">
        <v>0</v>
      </c>
      <c r="K65" s="510">
        <v>0</v>
      </c>
      <c r="L65" s="510">
        <v>0</v>
      </c>
      <c r="M65" s="510">
        <v>0</v>
      </c>
      <c r="N65" s="510">
        <v>0</v>
      </c>
      <c r="O65" s="510">
        <v>0</v>
      </c>
      <c r="P65" s="510">
        <v>0</v>
      </c>
      <c r="Q65" s="510">
        <v>0</v>
      </c>
      <c r="R65" s="510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510">
        <v>0</v>
      </c>
      <c r="I66" s="510">
        <v>0</v>
      </c>
      <c r="J66" s="510">
        <v>0</v>
      </c>
      <c r="K66" s="510">
        <v>0</v>
      </c>
      <c r="L66" s="510">
        <v>0</v>
      </c>
      <c r="M66" s="510">
        <v>0</v>
      </c>
      <c r="N66" s="510">
        <v>0</v>
      </c>
      <c r="O66" s="510">
        <v>0</v>
      </c>
      <c r="P66" s="510">
        <v>0</v>
      </c>
      <c r="Q66" s="510">
        <v>0</v>
      </c>
      <c r="R66" s="510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510">
        <v>0</v>
      </c>
      <c r="I67" s="510">
        <v>0</v>
      </c>
      <c r="J67" s="510">
        <v>0</v>
      </c>
      <c r="K67" s="510">
        <v>0</v>
      </c>
      <c r="L67" s="510">
        <v>0</v>
      </c>
      <c r="M67" s="510">
        <v>0</v>
      </c>
      <c r="N67" s="510">
        <v>0</v>
      </c>
      <c r="O67" s="510">
        <v>0</v>
      </c>
      <c r="P67" s="510">
        <v>0</v>
      </c>
      <c r="Q67" s="510">
        <v>0</v>
      </c>
      <c r="R67" s="510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510">
        <v>0</v>
      </c>
      <c r="I68" s="510">
        <v>0</v>
      </c>
      <c r="J68" s="510">
        <v>0</v>
      </c>
      <c r="K68" s="510">
        <v>0</v>
      </c>
      <c r="L68" s="510">
        <v>0</v>
      </c>
      <c r="M68" s="510">
        <v>0</v>
      </c>
      <c r="N68" s="510">
        <v>0</v>
      </c>
      <c r="O68" s="510">
        <v>0</v>
      </c>
      <c r="P68" s="510">
        <v>0</v>
      </c>
      <c r="Q68" s="510">
        <v>0</v>
      </c>
      <c r="R68" s="510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510">
        <v>0</v>
      </c>
      <c r="I69" s="510">
        <v>0</v>
      </c>
      <c r="J69" s="510">
        <v>0</v>
      </c>
      <c r="K69" s="510">
        <v>0</v>
      </c>
      <c r="L69" s="510">
        <v>0</v>
      </c>
      <c r="M69" s="510">
        <v>0</v>
      </c>
      <c r="N69" s="510">
        <v>0</v>
      </c>
      <c r="O69" s="510">
        <v>0</v>
      </c>
      <c r="P69" s="510">
        <v>0</v>
      </c>
      <c r="Q69" s="510">
        <v>0</v>
      </c>
      <c r="R69" s="510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510">
        <v>0.54</v>
      </c>
      <c r="I70" s="510">
        <v>5.4420000000000002</v>
      </c>
      <c r="J70" s="510">
        <v>-2.194</v>
      </c>
      <c r="K70" s="510">
        <v>0.70799999999999996</v>
      </c>
      <c r="L70" s="510">
        <v>1.5649999999999999</v>
      </c>
      <c r="M70" s="510">
        <v>0</v>
      </c>
      <c r="N70" s="510">
        <v>3.5000000000000003E-2</v>
      </c>
      <c r="O70" s="510">
        <v>3.5000000000000003E-2</v>
      </c>
      <c r="P70" s="510">
        <v>3.5000000000000003E-2</v>
      </c>
      <c r="Q70" s="510">
        <v>0</v>
      </c>
      <c r="R70" s="510">
        <v>0</v>
      </c>
    </row>
    <row r="71" spans="2:18" x14ac:dyDescent="0.2">
      <c r="B71" s="51" t="s">
        <v>162</v>
      </c>
      <c r="D71" s="16"/>
      <c r="E71" s="22"/>
      <c r="F71" s="22"/>
      <c r="G71" s="516" t="s">
        <v>163</v>
      </c>
      <c r="H71" s="509">
        <f t="shared" ref="H71:R71" si="16">SUM(H58:H70)</f>
        <v>0.54</v>
      </c>
      <c r="I71" s="509">
        <f t="shared" si="16"/>
        <v>2.9770000000000003</v>
      </c>
      <c r="J71" s="509">
        <f t="shared" si="16"/>
        <v>-15.774000000000001</v>
      </c>
      <c r="K71" s="509">
        <f t="shared" si="16"/>
        <v>-4.5179999999999998</v>
      </c>
      <c r="L71" s="509">
        <f t="shared" si="16"/>
        <v>1.5649999999999999</v>
      </c>
      <c r="M71" s="509">
        <f t="shared" si="16"/>
        <v>0</v>
      </c>
      <c r="N71" s="509">
        <f t="shared" si="16"/>
        <v>3.5000000000000003E-2</v>
      </c>
      <c r="O71" s="509">
        <f t="shared" si="16"/>
        <v>3.5000000000000003E-2</v>
      </c>
      <c r="P71" s="509">
        <f t="shared" si="16"/>
        <v>3.5000000000000003E-2</v>
      </c>
      <c r="Q71" s="509">
        <f t="shared" si="16"/>
        <v>0</v>
      </c>
      <c r="R71" s="509">
        <f t="shared" si="16"/>
        <v>0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506" t="s">
        <v>164</v>
      </c>
      <c r="H73" s="514">
        <f t="shared" ref="H73:R73" si="17">H57</f>
        <v>2011</v>
      </c>
      <c r="I73" s="514">
        <f t="shared" si="17"/>
        <v>2012</v>
      </c>
      <c r="J73" s="514">
        <f t="shared" si="17"/>
        <v>2013</v>
      </c>
      <c r="K73" s="514">
        <f t="shared" si="17"/>
        <v>2014</v>
      </c>
      <c r="L73" s="514">
        <f t="shared" si="17"/>
        <v>2015</v>
      </c>
      <c r="M73" s="514">
        <f t="shared" si="17"/>
        <v>2016</v>
      </c>
      <c r="N73" s="514">
        <f t="shared" si="17"/>
        <v>2017</v>
      </c>
      <c r="O73" s="514">
        <f t="shared" si="17"/>
        <v>2018</v>
      </c>
      <c r="P73" s="514">
        <f t="shared" si="17"/>
        <v>2019</v>
      </c>
      <c r="Q73" s="514">
        <f t="shared" si="17"/>
        <v>2020</v>
      </c>
      <c r="R73" s="514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508" t="s">
        <v>167</v>
      </c>
      <c r="H74" s="510">
        <v>0</v>
      </c>
      <c r="I74" s="510">
        <v>0</v>
      </c>
      <c r="J74" s="510">
        <v>0</v>
      </c>
      <c r="K74" s="510">
        <v>0</v>
      </c>
      <c r="L74" s="510">
        <v>0</v>
      </c>
      <c r="M74" s="510">
        <v>0</v>
      </c>
      <c r="N74" s="510">
        <v>0</v>
      </c>
      <c r="O74" s="510">
        <v>0</v>
      </c>
      <c r="P74" s="510">
        <v>0</v>
      </c>
      <c r="Q74" s="510">
        <v>0</v>
      </c>
      <c r="R74" s="510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510">
        <v>0</v>
      </c>
      <c r="I75" s="510">
        <v>0</v>
      </c>
      <c r="J75" s="510">
        <v>0</v>
      </c>
      <c r="K75" s="510">
        <v>0</v>
      </c>
      <c r="L75" s="510">
        <v>0</v>
      </c>
      <c r="M75" s="510">
        <v>0</v>
      </c>
      <c r="N75" s="510">
        <v>0</v>
      </c>
      <c r="O75" s="510">
        <v>0</v>
      </c>
      <c r="P75" s="510">
        <v>0</v>
      </c>
      <c r="Q75" s="510">
        <v>0</v>
      </c>
      <c r="R75" s="510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510">
        <v>0</v>
      </c>
      <c r="I76" s="510">
        <v>0</v>
      </c>
      <c r="J76" s="510">
        <v>0</v>
      </c>
      <c r="K76" s="510">
        <v>0</v>
      </c>
      <c r="L76" s="510">
        <v>0</v>
      </c>
      <c r="M76" s="510">
        <v>0</v>
      </c>
      <c r="N76" s="510">
        <v>0</v>
      </c>
      <c r="O76" s="510">
        <v>0</v>
      </c>
      <c r="P76" s="510">
        <v>0</v>
      </c>
      <c r="Q76" s="510">
        <v>0</v>
      </c>
      <c r="R76" s="510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510">
        <v>0</v>
      </c>
      <c r="I77" s="510">
        <v>0</v>
      </c>
      <c r="J77" s="510">
        <v>0</v>
      </c>
      <c r="K77" s="510">
        <v>0</v>
      </c>
      <c r="L77" s="510">
        <v>0</v>
      </c>
      <c r="M77" s="510">
        <v>0</v>
      </c>
      <c r="N77" s="510">
        <v>0</v>
      </c>
      <c r="O77" s="510">
        <v>0</v>
      </c>
      <c r="P77" s="510">
        <v>0</v>
      </c>
      <c r="Q77" s="510">
        <v>0</v>
      </c>
      <c r="R77" s="510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510">
        <v>0</v>
      </c>
      <c r="I78" s="510">
        <v>0</v>
      </c>
      <c r="J78" s="510">
        <v>0</v>
      </c>
      <c r="K78" s="510">
        <v>0</v>
      </c>
      <c r="L78" s="510">
        <v>0</v>
      </c>
      <c r="M78" s="510">
        <v>0</v>
      </c>
      <c r="N78" s="510">
        <v>0</v>
      </c>
      <c r="O78" s="510">
        <v>0</v>
      </c>
      <c r="P78" s="510">
        <v>0</v>
      </c>
      <c r="Q78" s="510">
        <v>0</v>
      </c>
      <c r="R78" s="510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510">
        <v>-1.534</v>
      </c>
      <c r="I79" s="510">
        <v>-4.0000000000000001E-3</v>
      </c>
      <c r="J79" s="510">
        <v>0</v>
      </c>
      <c r="K79" s="510">
        <v>0</v>
      </c>
      <c r="L79" s="510">
        <v>-0.08</v>
      </c>
      <c r="M79" s="510">
        <v>0</v>
      </c>
      <c r="N79" s="510">
        <v>0</v>
      </c>
      <c r="O79" s="510">
        <v>0</v>
      </c>
      <c r="P79" s="510">
        <v>0</v>
      </c>
      <c r="Q79" s="510">
        <v>0</v>
      </c>
      <c r="R79" s="510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510">
        <v>0</v>
      </c>
      <c r="I80" s="510">
        <v>0</v>
      </c>
      <c r="J80" s="510">
        <v>0</v>
      </c>
      <c r="K80" s="510">
        <v>0</v>
      </c>
      <c r="L80" s="510">
        <v>0</v>
      </c>
      <c r="M80" s="510">
        <v>0</v>
      </c>
      <c r="N80" s="510">
        <v>0</v>
      </c>
      <c r="O80" s="510">
        <v>0</v>
      </c>
      <c r="P80" s="510">
        <v>0</v>
      </c>
      <c r="Q80" s="510">
        <v>0</v>
      </c>
      <c r="R80" s="510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510">
        <v>0</v>
      </c>
      <c r="I81" s="510">
        <v>0</v>
      </c>
      <c r="J81" s="510">
        <v>0</v>
      </c>
      <c r="K81" s="510">
        <v>0</v>
      </c>
      <c r="L81" s="510">
        <v>0</v>
      </c>
      <c r="M81" s="510">
        <v>0</v>
      </c>
      <c r="N81" s="510">
        <v>0</v>
      </c>
      <c r="O81" s="510">
        <v>0</v>
      </c>
      <c r="P81" s="510">
        <v>0</v>
      </c>
      <c r="Q81" s="510">
        <v>0</v>
      </c>
      <c r="R81" s="510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510">
        <v>0</v>
      </c>
      <c r="I82" s="510">
        <v>0</v>
      </c>
      <c r="J82" s="510">
        <v>0</v>
      </c>
      <c r="K82" s="510">
        <v>0</v>
      </c>
      <c r="L82" s="510">
        <v>0</v>
      </c>
      <c r="M82" s="510">
        <v>0</v>
      </c>
      <c r="N82" s="510">
        <v>0</v>
      </c>
      <c r="O82" s="510">
        <v>0</v>
      </c>
      <c r="P82" s="510">
        <v>0</v>
      </c>
      <c r="Q82" s="510">
        <v>0</v>
      </c>
      <c r="R82" s="510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510">
        <v>0</v>
      </c>
      <c r="I83" s="510">
        <v>0</v>
      </c>
      <c r="J83" s="510">
        <v>0</v>
      </c>
      <c r="K83" s="510">
        <v>0</v>
      </c>
      <c r="L83" s="510">
        <v>0</v>
      </c>
      <c r="M83" s="510">
        <v>0</v>
      </c>
      <c r="N83" s="510">
        <v>0</v>
      </c>
      <c r="O83" s="510">
        <v>0</v>
      </c>
      <c r="P83" s="510">
        <v>0</v>
      </c>
      <c r="Q83" s="510">
        <v>0</v>
      </c>
      <c r="R83" s="510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510">
        <v>0</v>
      </c>
      <c r="I84" s="510">
        <v>0</v>
      </c>
      <c r="J84" s="510">
        <v>0</v>
      </c>
      <c r="K84" s="510">
        <v>0</v>
      </c>
      <c r="L84" s="510">
        <v>0</v>
      </c>
      <c r="M84" s="510">
        <v>0</v>
      </c>
      <c r="N84" s="510">
        <v>0</v>
      </c>
      <c r="O84" s="510">
        <v>0</v>
      </c>
      <c r="P84" s="510">
        <v>0</v>
      </c>
      <c r="Q84" s="510">
        <v>0</v>
      </c>
      <c r="R84" s="510">
        <v>0</v>
      </c>
    </row>
    <row r="85" spans="1:18" x14ac:dyDescent="0.2">
      <c r="B85" s="2" t="s">
        <v>192</v>
      </c>
      <c r="G85" s="186" t="s">
        <v>163</v>
      </c>
      <c r="H85" s="509">
        <f t="shared" ref="H85:R85" si="18">SUM(H74:H84)</f>
        <v>-1.534</v>
      </c>
      <c r="I85" s="509">
        <f t="shared" si="18"/>
        <v>-4.0000000000000001E-3</v>
      </c>
      <c r="J85" s="509">
        <f t="shared" si="18"/>
        <v>0</v>
      </c>
      <c r="K85" s="509">
        <f t="shared" si="18"/>
        <v>0</v>
      </c>
      <c r="L85" s="509">
        <f t="shared" si="18"/>
        <v>-0.08</v>
      </c>
      <c r="M85" s="509">
        <f t="shared" si="18"/>
        <v>0</v>
      </c>
      <c r="N85" s="509">
        <f t="shared" si="18"/>
        <v>0</v>
      </c>
      <c r="O85" s="509">
        <f t="shared" si="18"/>
        <v>0</v>
      </c>
      <c r="P85" s="509">
        <f t="shared" si="18"/>
        <v>0</v>
      </c>
      <c r="Q85" s="509">
        <f t="shared" si="18"/>
        <v>0</v>
      </c>
      <c r="R85" s="509">
        <f t="shared" si="18"/>
        <v>0</v>
      </c>
    </row>
    <row r="87" spans="1:18" x14ac:dyDescent="0.2">
      <c r="A87" s="23" t="s">
        <v>0</v>
      </c>
      <c r="D87" s="1178" t="s">
        <v>193</v>
      </c>
      <c r="E87" s="1179"/>
      <c r="G87" s="506" t="s">
        <v>194</v>
      </c>
      <c r="H87" s="514">
        <f t="shared" ref="H87:R87" si="19">H32</f>
        <v>2011</v>
      </c>
      <c r="I87" s="514">
        <f t="shared" si="19"/>
        <v>2012</v>
      </c>
      <c r="J87" s="514">
        <f t="shared" si="19"/>
        <v>2013</v>
      </c>
      <c r="K87" s="514">
        <f t="shared" si="19"/>
        <v>2014</v>
      </c>
      <c r="L87" s="514">
        <f t="shared" si="19"/>
        <v>2015</v>
      </c>
      <c r="M87" s="514">
        <f t="shared" si="19"/>
        <v>2016</v>
      </c>
      <c r="N87" s="514">
        <f t="shared" si="19"/>
        <v>2017</v>
      </c>
      <c r="O87" s="514">
        <f t="shared" si="19"/>
        <v>2018</v>
      </c>
      <c r="P87" s="514">
        <f t="shared" si="19"/>
        <v>2019</v>
      </c>
      <c r="Q87" s="514">
        <f t="shared" si="19"/>
        <v>2020</v>
      </c>
      <c r="R87" s="514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517"/>
      <c r="G88" s="508" t="s">
        <v>198</v>
      </c>
      <c r="H88" s="509">
        <f>H46+H71</f>
        <v>-74.039999999999921</v>
      </c>
      <c r="I88" s="509">
        <f t="shared" ref="I88:R88" si="20">I46+I71</f>
        <v>-81.83699999999962</v>
      </c>
      <c r="J88" s="509">
        <f t="shared" si="20"/>
        <v>-16.726999999999975</v>
      </c>
      <c r="K88" s="509">
        <f t="shared" si="20"/>
        <v>1.9370000000001548</v>
      </c>
      <c r="L88" s="509">
        <f t="shared" si="20"/>
        <v>270.72899999999964</v>
      </c>
      <c r="M88" s="509">
        <f t="shared" si="20"/>
        <v>-119.83400000000029</v>
      </c>
      <c r="N88" s="509">
        <f t="shared" si="20"/>
        <v>139.15700000000029</v>
      </c>
      <c r="O88" s="509">
        <f t="shared" si="20"/>
        <v>-66.753000000000014</v>
      </c>
      <c r="P88" s="509">
        <f t="shared" si="20"/>
        <v>3.5000000000000003E-2</v>
      </c>
      <c r="Q88" s="509">
        <f t="shared" si="20"/>
        <v>0</v>
      </c>
      <c r="R88" s="509">
        <f t="shared" si="20"/>
        <v>0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517"/>
      <c r="G89" s="508" t="s">
        <v>202</v>
      </c>
      <c r="H89" s="518">
        <f t="shared" ref="H89:R89" si="21">H33+H38+H41-H45</f>
        <v>0</v>
      </c>
      <c r="I89" s="509">
        <f t="shared" si="21"/>
        <v>-19.242999999999626</v>
      </c>
      <c r="J89" s="509">
        <f t="shared" si="21"/>
        <v>23.946000000000026</v>
      </c>
      <c r="K89" s="509">
        <f t="shared" si="21"/>
        <v>22.703000000000156</v>
      </c>
      <c r="L89" s="509">
        <f t="shared" si="21"/>
        <v>272.62899999999962</v>
      </c>
      <c r="M89" s="509">
        <f t="shared" si="21"/>
        <v>-112.48900000000029</v>
      </c>
      <c r="N89" s="509">
        <f t="shared" si="21"/>
        <v>139.1220000000003</v>
      </c>
      <c r="O89" s="509">
        <f t="shared" si="21"/>
        <v>-66.788000000000011</v>
      </c>
      <c r="P89" s="509">
        <f t="shared" si="21"/>
        <v>0</v>
      </c>
      <c r="Q89" s="509">
        <f t="shared" si="21"/>
        <v>0</v>
      </c>
      <c r="R89" s="509">
        <f t="shared" si="21"/>
        <v>0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519">
        <v>0.09</v>
      </c>
      <c r="G90" s="186" t="s">
        <v>206</v>
      </c>
      <c r="H90" s="520">
        <f t="shared" ref="H90:R90" si="22">H89/H33</f>
        <v>0</v>
      </c>
      <c r="I90" s="521">
        <f t="shared" si="22"/>
        <v>-4.8057076112887611E-3</v>
      </c>
      <c r="J90" s="521">
        <f t="shared" si="22"/>
        <v>5.6401071775816526E-3</v>
      </c>
      <c r="K90" s="521">
        <f t="shared" si="22"/>
        <v>6.4056985690375779E-3</v>
      </c>
      <c r="L90" s="521">
        <f t="shared" si="22"/>
        <v>0.10795204366405525</v>
      </c>
      <c r="M90" s="521">
        <f t="shared" si="22"/>
        <v>-3.2666257015946262E-2</v>
      </c>
      <c r="N90" s="521">
        <f t="shared" si="22"/>
        <v>2.916603773584912E-2</v>
      </c>
      <c r="O90" s="521">
        <f t="shared" si="22"/>
        <v>-1.855737704918033E-2</v>
      </c>
      <c r="P90" s="521">
        <f t="shared" si="22"/>
        <v>0</v>
      </c>
      <c r="Q90" s="521">
        <f t="shared" si="22"/>
        <v>0</v>
      </c>
      <c r="R90" s="521">
        <f t="shared" si="22"/>
        <v>0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517"/>
      <c r="G91" s="18" t="s">
        <v>210</v>
      </c>
      <c r="H91" s="522">
        <f t="shared" ref="H91:R91" si="23">-H33/(H38+H41)</f>
        <v>0.97982141219270469</v>
      </c>
      <c r="I91" s="522">
        <f t="shared" si="23"/>
        <v>0.97925806509202362</v>
      </c>
      <c r="J91" s="522">
        <f t="shared" si="23"/>
        <v>0.99977558607239592</v>
      </c>
      <c r="K91" s="522">
        <f t="shared" si="23"/>
        <v>1.0018246148027565</v>
      </c>
      <c r="L91" s="522">
        <f t="shared" si="23"/>
        <v>1.1192944200682533</v>
      </c>
      <c r="M91" s="522">
        <f t="shared" si="23"/>
        <v>0.96637105161392789</v>
      </c>
      <c r="N91" s="522">
        <f t="shared" si="23"/>
        <v>1.0300422511670573</v>
      </c>
      <c r="O91" s="522">
        <f t="shared" si="23"/>
        <v>0.98178072490825985</v>
      </c>
      <c r="P91" s="522">
        <f t="shared" si="23"/>
        <v>1</v>
      </c>
      <c r="Q91" s="522">
        <f t="shared" si="23"/>
        <v>1</v>
      </c>
      <c r="R91" s="522">
        <f t="shared" si="23"/>
        <v>1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517"/>
      <c r="G92" s="508" t="s">
        <v>214</v>
      </c>
      <c r="H92" s="518">
        <f>H46</f>
        <v>-74.579999999999927</v>
      </c>
      <c r="I92" s="518">
        <f t="shared" ref="I92:R92" si="24">I46</f>
        <v>-84.813999999999623</v>
      </c>
      <c r="J92" s="518">
        <f t="shared" si="24"/>
        <v>-0.95299999999997453</v>
      </c>
      <c r="K92" s="518">
        <f t="shared" si="24"/>
        <v>6.4550000000001546</v>
      </c>
      <c r="L92" s="518">
        <f t="shared" si="24"/>
        <v>269.16399999999965</v>
      </c>
      <c r="M92" s="518">
        <f t="shared" si="24"/>
        <v>-119.83400000000029</v>
      </c>
      <c r="N92" s="518">
        <f t="shared" si="24"/>
        <v>139.1220000000003</v>
      </c>
      <c r="O92" s="518">
        <f t="shared" si="24"/>
        <v>-66.788000000000011</v>
      </c>
      <c r="P92" s="518">
        <f t="shared" si="24"/>
        <v>0</v>
      </c>
      <c r="Q92" s="518">
        <f t="shared" si="24"/>
        <v>0</v>
      </c>
      <c r="R92" s="518">
        <f t="shared" si="24"/>
        <v>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519">
        <v>-0.3</v>
      </c>
      <c r="E93" s="519">
        <v>0</v>
      </c>
      <c r="G93" s="18" t="s">
        <v>218</v>
      </c>
      <c r="H93" s="523">
        <f>H46/H33</f>
        <v>-2.0594148644025232E-2</v>
      </c>
      <c r="I93" s="524">
        <f t="shared" ref="I93:R93" si="25">I46/I33</f>
        <v>-2.11812755466326E-2</v>
      </c>
      <c r="J93" s="524">
        <f t="shared" si="25"/>
        <v>-2.2446430051930029E-4</v>
      </c>
      <c r="K93" s="524">
        <f t="shared" si="25"/>
        <v>1.821291647057141E-3</v>
      </c>
      <c r="L93" s="524">
        <f t="shared" si="25"/>
        <v>0.10658001856292533</v>
      </c>
      <c r="M93" s="524">
        <f t="shared" si="25"/>
        <v>-3.4799209196000533E-2</v>
      </c>
      <c r="N93" s="524">
        <f t="shared" si="25"/>
        <v>2.916603773584912E-2</v>
      </c>
      <c r="O93" s="524">
        <f t="shared" si="25"/>
        <v>-1.855737704918033E-2</v>
      </c>
      <c r="P93" s="524">
        <f t="shared" si="25"/>
        <v>0</v>
      </c>
      <c r="Q93" s="524">
        <f t="shared" si="25"/>
        <v>0</v>
      </c>
      <c r="R93" s="524">
        <f t="shared" si="25"/>
        <v>0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517"/>
      <c r="G94" s="186" t="s">
        <v>222</v>
      </c>
      <c r="H94" s="518">
        <f>H29+H30</f>
        <v>259.18299999999999</v>
      </c>
      <c r="I94" s="518">
        <f t="shared" ref="I94:R94" si="26">I29+I30</f>
        <v>175.62599999999998</v>
      </c>
      <c r="J94" s="518">
        <f t="shared" si="26"/>
        <v>172.20599999999999</v>
      </c>
      <c r="K94" s="518">
        <f t="shared" si="26"/>
        <v>179.36799999999999</v>
      </c>
      <c r="L94" s="518">
        <f t="shared" si="26"/>
        <v>451.36899999999997</v>
      </c>
      <c r="M94" s="518">
        <f t="shared" si="26"/>
        <v>334.07000000000005</v>
      </c>
      <c r="N94" s="518">
        <f t="shared" si="26"/>
        <v>473.21</v>
      </c>
      <c r="O94" s="518">
        <f t="shared" si="26"/>
        <v>406</v>
      </c>
      <c r="P94" s="518">
        <f t="shared" si="26"/>
        <v>406</v>
      </c>
      <c r="Q94" s="518">
        <f t="shared" si="26"/>
        <v>406</v>
      </c>
      <c r="R94" s="518">
        <f t="shared" si="26"/>
        <v>406</v>
      </c>
    </row>
    <row r="95" spans="1:18" x14ac:dyDescent="0.2">
      <c r="G95" s="68" t="s">
        <v>223</v>
      </c>
      <c r="H95" s="514">
        <f t="shared" ref="H95:R95" si="27">H87</f>
        <v>2011</v>
      </c>
      <c r="I95" s="514">
        <f t="shared" si="27"/>
        <v>2012</v>
      </c>
      <c r="J95" s="514">
        <f t="shared" si="27"/>
        <v>2013</v>
      </c>
      <c r="K95" s="514">
        <f t="shared" si="27"/>
        <v>2014</v>
      </c>
      <c r="L95" s="514">
        <f t="shared" si="27"/>
        <v>2015</v>
      </c>
      <c r="M95" s="514">
        <f t="shared" si="27"/>
        <v>2016</v>
      </c>
      <c r="N95" s="514">
        <f t="shared" si="27"/>
        <v>2017</v>
      </c>
      <c r="O95" s="514">
        <f t="shared" si="27"/>
        <v>2018</v>
      </c>
      <c r="P95" s="514">
        <f t="shared" si="27"/>
        <v>2019</v>
      </c>
      <c r="Q95" s="514">
        <f t="shared" si="27"/>
        <v>2020</v>
      </c>
      <c r="R95" s="514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517"/>
      <c r="F96" s="69"/>
      <c r="G96" s="508" t="s">
        <v>227</v>
      </c>
      <c r="H96" s="518">
        <f t="shared" ref="H96:R96" si="28">H6+H12</f>
        <v>796.02599999999995</v>
      </c>
      <c r="I96" s="509">
        <f t="shared" si="28"/>
        <v>953.03399999999999</v>
      </c>
      <c r="J96" s="509">
        <f t="shared" si="28"/>
        <v>929.77599999999995</v>
      </c>
      <c r="K96" s="509">
        <f t="shared" si="28"/>
        <v>944.51900000000001</v>
      </c>
      <c r="L96" s="509">
        <f t="shared" si="28"/>
        <v>1071.3979999999999</v>
      </c>
      <c r="M96" s="509">
        <f t="shared" si="28"/>
        <v>368.17500000000001</v>
      </c>
      <c r="N96" s="509">
        <f t="shared" si="28"/>
        <v>953.73199999999997</v>
      </c>
      <c r="O96" s="509">
        <f t="shared" si="28"/>
        <v>350</v>
      </c>
      <c r="P96" s="509">
        <f t="shared" si="28"/>
        <v>320</v>
      </c>
      <c r="Q96" s="509">
        <f t="shared" si="28"/>
        <v>300</v>
      </c>
      <c r="R96" s="509">
        <f t="shared" si="28"/>
        <v>300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517"/>
      <c r="F97" s="69"/>
      <c r="G97" s="18" t="s">
        <v>230</v>
      </c>
      <c r="H97" s="518">
        <f>H19</f>
        <v>2243.0070000000001</v>
      </c>
      <c r="I97" s="518">
        <f t="shared" ref="I97:R97" si="29">I19</f>
        <v>2795.4989999999998</v>
      </c>
      <c r="J97" s="518">
        <f t="shared" si="29"/>
        <v>2575.223</v>
      </c>
      <c r="K97" s="518">
        <f t="shared" si="29"/>
        <v>1276.047</v>
      </c>
      <c r="L97" s="518">
        <f t="shared" si="29"/>
        <v>841.14099999999996</v>
      </c>
      <c r="M97" s="518">
        <f t="shared" si="29"/>
        <v>1033.873</v>
      </c>
      <c r="N97" s="518">
        <f t="shared" si="29"/>
        <v>1254</v>
      </c>
      <c r="O97" s="518">
        <f t="shared" si="29"/>
        <v>794</v>
      </c>
      <c r="P97" s="518">
        <f t="shared" si="29"/>
        <v>684</v>
      </c>
      <c r="Q97" s="518">
        <f t="shared" si="29"/>
        <v>629</v>
      </c>
      <c r="R97" s="518">
        <f t="shared" si="29"/>
        <v>544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517"/>
      <c r="F98" s="69"/>
      <c r="G98" s="18" t="s">
        <v>234</v>
      </c>
      <c r="H98" s="518">
        <f t="shared" ref="H98:R98" si="30">H97-H96</f>
        <v>1446.9810000000002</v>
      </c>
      <c r="I98" s="509">
        <f t="shared" si="30"/>
        <v>1842.4649999999997</v>
      </c>
      <c r="J98" s="509">
        <f t="shared" si="30"/>
        <v>1645.4470000000001</v>
      </c>
      <c r="K98" s="509">
        <f t="shared" si="30"/>
        <v>331.52800000000002</v>
      </c>
      <c r="L98" s="509">
        <f t="shared" si="30"/>
        <v>-230.25699999999995</v>
      </c>
      <c r="M98" s="509">
        <f t="shared" si="30"/>
        <v>665.69800000000009</v>
      </c>
      <c r="N98" s="509">
        <f t="shared" si="30"/>
        <v>300.26800000000003</v>
      </c>
      <c r="O98" s="509">
        <f t="shared" si="30"/>
        <v>444</v>
      </c>
      <c r="P98" s="509">
        <f t="shared" si="30"/>
        <v>364</v>
      </c>
      <c r="Q98" s="509">
        <f t="shared" si="30"/>
        <v>329</v>
      </c>
      <c r="R98" s="509">
        <f t="shared" si="30"/>
        <v>244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519">
        <v>0.4</v>
      </c>
      <c r="F99" s="69"/>
      <c r="G99" s="18" t="s">
        <v>238</v>
      </c>
      <c r="H99" s="525">
        <f t="shared" ref="H99:R99" si="31">H98/H33</f>
        <v>0.39956210510968504</v>
      </c>
      <c r="I99" s="521">
        <f t="shared" si="31"/>
        <v>0.46013345497237013</v>
      </c>
      <c r="J99" s="521">
        <f t="shared" si="31"/>
        <v>0.38755940178026338</v>
      </c>
      <c r="K99" s="521">
        <f t="shared" si="31"/>
        <v>9.3541313271192167E-2</v>
      </c>
      <c r="L99" s="521">
        <f t="shared" si="31"/>
        <v>-9.1174136713095086E-2</v>
      </c>
      <c r="M99" s="521">
        <f t="shared" si="31"/>
        <v>0.19331545273761294</v>
      </c>
      <c r="N99" s="521">
        <f t="shared" si="31"/>
        <v>6.2949266247379468E-2</v>
      </c>
      <c r="O99" s="521">
        <f t="shared" si="31"/>
        <v>0.1233676021116977</v>
      </c>
      <c r="P99" s="521">
        <f t="shared" si="31"/>
        <v>0.11833550065019506</v>
      </c>
      <c r="Q99" s="521">
        <f t="shared" si="31"/>
        <v>0.11198093941456773</v>
      </c>
      <c r="R99" s="521">
        <f t="shared" si="31"/>
        <v>9.3882262408618702E-2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526">
        <v>0</v>
      </c>
      <c r="E100" s="526">
        <v>5</v>
      </c>
      <c r="F100" s="69"/>
      <c r="G100" s="18" t="s">
        <v>242</v>
      </c>
      <c r="H100" s="522" t="e">
        <f t="shared" ref="H100:R100" si="32">H98/H89</f>
        <v>#DIV/0!</v>
      </c>
      <c r="I100" s="522">
        <f t="shared" si="32"/>
        <v>-95.747284726915524</v>
      </c>
      <c r="J100" s="522">
        <f t="shared" si="32"/>
        <v>68.714900192098824</v>
      </c>
      <c r="K100" s="522">
        <f t="shared" si="32"/>
        <v>14.602827820111781</v>
      </c>
      <c r="L100" s="522">
        <f t="shared" si="32"/>
        <v>-0.8445799969922505</v>
      </c>
      <c r="M100" s="522">
        <f t="shared" si="32"/>
        <v>-5.917894194098964</v>
      </c>
      <c r="N100" s="522">
        <f t="shared" si="32"/>
        <v>2.1583070973677736</v>
      </c>
      <c r="O100" s="522">
        <f t="shared" si="32"/>
        <v>-6.6479008205066767</v>
      </c>
      <c r="P100" s="522" t="e">
        <f t="shared" si="32"/>
        <v>#DIV/0!</v>
      </c>
      <c r="Q100" s="522" t="e">
        <f t="shared" si="32"/>
        <v>#DIV/0!</v>
      </c>
      <c r="R100" s="522" t="e">
        <f t="shared" si="32"/>
        <v>#DIV/0!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517"/>
      <c r="F101" s="69"/>
      <c r="G101" s="18" t="s">
        <v>246</v>
      </c>
      <c r="H101" s="518">
        <f t="shared" ref="H101:R101" si="33">-(H75+H77+H78+H79+H80+H81)</f>
        <v>1.534</v>
      </c>
      <c r="I101" s="518">
        <f t="shared" si="33"/>
        <v>4.0000000000000001E-3</v>
      </c>
      <c r="J101" s="518">
        <f t="shared" si="33"/>
        <v>0</v>
      </c>
      <c r="K101" s="518">
        <f t="shared" si="33"/>
        <v>0</v>
      </c>
      <c r="L101" s="518">
        <f t="shared" si="33"/>
        <v>0.08</v>
      </c>
      <c r="M101" s="518">
        <f t="shared" si="33"/>
        <v>0</v>
      </c>
      <c r="N101" s="518">
        <f t="shared" si="33"/>
        <v>0</v>
      </c>
      <c r="O101" s="518">
        <f t="shared" si="33"/>
        <v>0</v>
      </c>
      <c r="P101" s="518">
        <f t="shared" si="33"/>
        <v>0</v>
      </c>
      <c r="Q101" s="518">
        <f t="shared" si="33"/>
        <v>0</v>
      </c>
      <c r="R101" s="518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526">
        <v>1.2</v>
      </c>
      <c r="F102" s="69"/>
      <c r="G102" s="18" t="s">
        <v>250</v>
      </c>
      <c r="H102" s="527">
        <f t="shared" ref="H102:R102" si="34">H89/H101</f>
        <v>0</v>
      </c>
      <c r="I102" s="522">
        <f t="shared" si="34"/>
        <v>-4810.7499999999063</v>
      </c>
      <c r="J102" s="522" t="e">
        <f t="shared" si="34"/>
        <v>#DIV/0!</v>
      </c>
      <c r="K102" s="522" t="e">
        <f t="shared" si="34"/>
        <v>#DIV/0!</v>
      </c>
      <c r="L102" s="522">
        <f t="shared" si="34"/>
        <v>3407.8624999999952</v>
      </c>
      <c r="M102" s="522" t="e">
        <f t="shared" si="34"/>
        <v>#DIV/0!</v>
      </c>
      <c r="N102" s="522" t="e">
        <f t="shared" si="34"/>
        <v>#DIV/0!</v>
      </c>
      <c r="O102" s="522" t="e">
        <f t="shared" si="34"/>
        <v>#DIV/0!</v>
      </c>
      <c r="P102" s="522" t="e">
        <f t="shared" si="34"/>
        <v>#DIV/0!</v>
      </c>
      <c r="Q102" s="522" t="e">
        <f t="shared" si="34"/>
        <v>#DIV/0!</v>
      </c>
      <c r="R102" s="522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526">
        <v>0</v>
      </c>
      <c r="F103" s="69"/>
      <c r="G103" s="508" t="s">
        <v>254</v>
      </c>
      <c r="H103" s="518">
        <f t="shared" ref="H103:R103" si="35">H5-H20</f>
        <v>157.12699999999995</v>
      </c>
      <c r="I103" s="518">
        <f t="shared" si="35"/>
        <v>120.34900000000016</v>
      </c>
      <c r="J103" s="518">
        <f t="shared" si="35"/>
        <v>131.61700000000019</v>
      </c>
      <c r="K103" s="518">
        <f t="shared" si="35"/>
        <v>149.3119999999999</v>
      </c>
      <c r="L103" s="518">
        <f t="shared" si="35"/>
        <v>425.274</v>
      </c>
      <c r="M103" s="518">
        <f t="shared" si="35"/>
        <v>1366.933</v>
      </c>
      <c r="N103" s="518">
        <f t="shared" si="35"/>
        <v>1726.732</v>
      </c>
      <c r="O103" s="518">
        <f t="shared" si="35"/>
        <v>1200</v>
      </c>
      <c r="P103" s="518">
        <f t="shared" si="35"/>
        <v>1090</v>
      </c>
      <c r="Q103" s="518">
        <f t="shared" si="35"/>
        <v>1035</v>
      </c>
      <c r="R103" s="518">
        <f t="shared" si="35"/>
        <v>950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526">
        <v>1</v>
      </c>
      <c r="F104" s="69"/>
      <c r="G104" s="18" t="s">
        <v>258</v>
      </c>
      <c r="H104" s="527">
        <f t="shared" ref="H104:R104" si="36">H5/H20</f>
        <v>1.0700520373570443</v>
      </c>
      <c r="I104" s="527">
        <f t="shared" si="36"/>
        <v>1.0430509901810017</v>
      </c>
      <c r="J104" s="527">
        <f t="shared" si="36"/>
        <v>1.0511089719220432</v>
      </c>
      <c r="K104" s="527">
        <f t="shared" si="36"/>
        <v>1.1170113640014827</v>
      </c>
      <c r="L104" s="527">
        <f t="shared" si="36"/>
        <v>1.5055918092210463</v>
      </c>
      <c r="M104" s="527" t="e">
        <f t="shared" si="36"/>
        <v>#DIV/0!</v>
      </c>
      <c r="N104" s="527" t="e">
        <f t="shared" si="36"/>
        <v>#DIV/0!</v>
      </c>
      <c r="O104" s="527" t="e">
        <f t="shared" si="36"/>
        <v>#DIV/0!</v>
      </c>
      <c r="P104" s="527" t="e">
        <f t="shared" si="36"/>
        <v>#DIV/0!</v>
      </c>
      <c r="Q104" s="527" t="e">
        <f t="shared" si="36"/>
        <v>#DIV/0!</v>
      </c>
      <c r="R104" s="527" t="e">
        <f t="shared" si="36"/>
        <v>#DIV/0!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526">
        <v>1</v>
      </c>
      <c r="F105" s="69"/>
      <c r="G105" s="186" t="s">
        <v>262</v>
      </c>
      <c r="H105" s="527">
        <f t="shared" ref="H105:R105" si="37">-H6/((H38+H41-H45+H47)/12)</f>
        <v>2.6402502848983556</v>
      </c>
      <c r="I105" s="527">
        <f t="shared" si="37"/>
        <v>2.8433335827832802</v>
      </c>
      <c r="J105" s="527">
        <f t="shared" si="37"/>
        <v>2.6412934092611948</v>
      </c>
      <c r="K105" s="527">
        <f t="shared" si="37"/>
        <v>3.219240525599889</v>
      </c>
      <c r="L105" s="527">
        <f t="shared" si="37"/>
        <v>5.7129826092481979</v>
      </c>
      <c r="M105" s="527">
        <f t="shared" si="37"/>
        <v>1.2432968175923924</v>
      </c>
      <c r="N105" s="527">
        <f t="shared" si="37"/>
        <v>2.4714069340630438</v>
      </c>
      <c r="O105" s="527">
        <f t="shared" si="37"/>
        <v>1.1457291038106951</v>
      </c>
      <c r="P105" s="527">
        <f t="shared" si="37"/>
        <v>1.2483745123537062</v>
      </c>
      <c r="Q105" s="527">
        <f t="shared" si="37"/>
        <v>1.2253233492171545</v>
      </c>
      <c r="R105" s="527">
        <f t="shared" si="37"/>
        <v>1.3851481338976528</v>
      </c>
    </row>
    <row r="106" spans="1:18" x14ac:dyDescent="0.2">
      <c r="C106" s="16"/>
      <c r="F106" s="69"/>
      <c r="G106" s="68" t="s">
        <v>263</v>
      </c>
      <c r="H106" s="514">
        <f t="shared" ref="H106:R106" si="38">H95</f>
        <v>2011</v>
      </c>
      <c r="I106" s="514">
        <f t="shared" si="38"/>
        <v>2012</v>
      </c>
      <c r="J106" s="514">
        <f t="shared" si="38"/>
        <v>2013</v>
      </c>
      <c r="K106" s="514">
        <f t="shared" si="38"/>
        <v>2014</v>
      </c>
      <c r="L106" s="514">
        <f t="shared" si="38"/>
        <v>2015</v>
      </c>
      <c r="M106" s="514">
        <f t="shared" si="38"/>
        <v>2016</v>
      </c>
      <c r="N106" s="514">
        <f t="shared" si="38"/>
        <v>2017</v>
      </c>
      <c r="O106" s="514">
        <f t="shared" si="38"/>
        <v>2018</v>
      </c>
      <c r="P106" s="514">
        <f t="shared" si="38"/>
        <v>2019</v>
      </c>
      <c r="Q106" s="514">
        <f t="shared" si="38"/>
        <v>2020</v>
      </c>
      <c r="R106" s="514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519">
        <v>0.6</v>
      </c>
      <c r="F107" s="69"/>
      <c r="G107" s="508" t="s">
        <v>267</v>
      </c>
      <c r="H107" s="525">
        <f t="shared" ref="H107:R107" si="39">H17/H4</f>
        <v>0</v>
      </c>
      <c r="I107" s="525">
        <f t="shared" si="39"/>
        <v>0</v>
      </c>
      <c r="J107" s="525">
        <f t="shared" si="39"/>
        <v>0</v>
      </c>
      <c r="K107" s="525">
        <f t="shared" si="39"/>
        <v>0</v>
      </c>
      <c r="L107" s="525">
        <f t="shared" si="39"/>
        <v>0</v>
      </c>
      <c r="M107" s="525">
        <f t="shared" si="39"/>
        <v>0</v>
      </c>
      <c r="N107" s="525">
        <f t="shared" si="39"/>
        <v>0</v>
      </c>
      <c r="O107" s="525">
        <f t="shared" si="39"/>
        <v>0</v>
      </c>
      <c r="P107" s="525">
        <f t="shared" si="39"/>
        <v>0</v>
      </c>
      <c r="Q107" s="525">
        <f t="shared" si="39"/>
        <v>0</v>
      </c>
      <c r="R107" s="525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519">
        <v>0.4</v>
      </c>
      <c r="F108" s="69"/>
      <c r="G108" s="186" t="s">
        <v>271</v>
      </c>
      <c r="H108" s="525" t="e">
        <f t="shared" ref="H108:R108" si="40">H27/H17</f>
        <v>#DIV/0!</v>
      </c>
      <c r="I108" s="525" t="e">
        <f t="shared" si="40"/>
        <v>#DIV/0!</v>
      </c>
      <c r="J108" s="525" t="e">
        <f t="shared" si="40"/>
        <v>#DIV/0!</v>
      </c>
      <c r="K108" s="525" t="e">
        <f t="shared" si="40"/>
        <v>#DIV/0!</v>
      </c>
      <c r="L108" s="525" t="e">
        <f t="shared" si="40"/>
        <v>#DIV/0!</v>
      </c>
      <c r="M108" s="525" t="e">
        <f t="shared" si="40"/>
        <v>#DIV/0!</v>
      </c>
      <c r="N108" s="525" t="e">
        <f t="shared" si="40"/>
        <v>#DIV/0!</v>
      </c>
      <c r="O108" s="525" t="e">
        <f t="shared" si="40"/>
        <v>#DIV/0!</v>
      </c>
      <c r="P108" s="525" t="e">
        <f t="shared" si="40"/>
        <v>#DIV/0!</v>
      </c>
      <c r="Q108" s="525" t="e">
        <f t="shared" si="40"/>
        <v>#DIV/0!</v>
      </c>
      <c r="R108" s="525" t="e">
        <f t="shared" si="40"/>
        <v>#DIV/0!</v>
      </c>
    </row>
    <row r="109" spans="1:18" x14ac:dyDescent="0.2">
      <c r="C109" s="16"/>
      <c r="F109" s="69"/>
      <c r="G109" s="198" t="s">
        <v>272</v>
      </c>
      <c r="H109" s="514">
        <f t="shared" ref="H109:R109" si="41">H95</f>
        <v>2011</v>
      </c>
      <c r="I109" s="514">
        <f t="shared" si="41"/>
        <v>2012</v>
      </c>
      <c r="J109" s="514">
        <f t="shared" si="41"/>
        <v>2013</v>
      </c>
      <c r="K109" s="514">
        <f t="shared" si="41"/>
        <v>2014</v>
      </c>
      <c r="L109" s="514">
        <f t="shared" si="41"/>
        <v>2015</v>
      </c>
      <c r="M109" s="514">
        <f t="shared" si="41"/>
        <v>2016</v>
      </c>
      <c r="N109" s="514">
        <f t="shared" si="41"/>
        <v>2017</v>
      </c>
      <c r="O109" s="514">
        <f t="shared" si="41"/>
        <v>2018</v>
      </c>
      <c r="P109" s="514">
        <f t="shared" si="41"/>
        <v>2019</v>
      </c>
      <c r="Q109" s="514">
        <f t="shared" si="41"/>
        <v>2020</v>
      </c>
      <c r="R109" s="514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517"/>
      <c r="F110" s="69"/>
      <c r="G110" s="18" t="s">
        <v>276</v>
      </c>
      <c r="H110" s="528">
        <f t="shared" ref="H110:R110" si="42">H10/H4</f>
        <v>4.0787103127342954E-2</v>
      </c>
      <c r="I110" s="528">
        <f t="shared" si="42"/>
        <v>1.8604406951712553E-2</v>
      </c>
      <c r="J110" s="528">
        <f t="shared" si="42"/>
        <v>1.4773806793985652E-2</v>
      </c>
      <c r="K110" s="528">
        <f t="shared" si="42"/>
        <v>2.0651154481711401E-2</v>
      </c>
      <c r="L110" s="528">
        <f t="shared" si="42"/>
        <v>2.0190156988992743E-2</v>
      </c>
      <c r="M110" s="528">
        <f t="shared" si="42"/>
        <v>8.6761395199251535E-4</v>
      </c>
      <c r="N110" s="528">
        <f t="shared" si="42"/>
        <v>5.2094427516971207E-4</v>
      </c>
      <c r="O110" s="528">
        <f t="shared" si="42"/>
        <v>0</v>
      </c>
      <c r="P110" s="528">
        <f t="shared" si="42"/>
        <v>0</v>
      </c>
      <c r="Q110" s="528">
        <f t="shared" si="42"/>
        <v>0</v>
      </c>
      <c r="R110" s="528">
        <f t="shared" si="42"/>
        <v>0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517"/>
      <c r="F111" s="69"/>
      <c r="G111" s="18" t="s">
        <v>280</v>
      </c>
      <c r="H111" s="528">
        <f t="shared" ref="H111:R111" si="43">-(H58)/H15</f>
        <v>0</v>
      </c>
      <c r="I111" s="528">
        <f t="shared" si="43"/>
        <v>4.459439901584774E-2</v>
      </c>
      <c r="J111" s="528">
        <f t="shared" si="43"/>
        <v>0.49147696427925158</v>
      </c>
      <c r="K111" s="528">
        <f t="shared" si="43"/>
        <v>0.31464868444819072</v>
      </c>
      <c r="L111" s="528">
        <f t="shared" si="43"/>
        <v>0</v>
      </c>
      <c r="M111" s="528">
        <f t="shared" si="43"/>
        <v>0</v>
      </c>
      <c r="N111" s="528" t="e">
        <f t="shared" si="43"/>
        <v>#DIV/0!</v>
      </c>
      <c r="O111" s="528" t="e">
        <f t="shared" si="43"/>
        <v>#DIV/0!</v>
      </c>
      <c r="P111" s="528" t="e">
        <f t="shared" si="43"/>
        <v>#DIV/0!</v>
      </c>
      <c r="Q111" s="528" t="e">
        <f t="shared" si="43"/>
        <v>#DIV/0!</v>
      </c>
      <c r="R111" s="528" t="e">
        <f t="shared" si="43"/>
        <v>#DIV/0!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517"/>
      <c r="F112" s="69"/>
      <c r="G112" s="508" t="s">
        <v>284</v>
      </c>
      <c r="H112" s="522">
        <f t="shared" ref="H112:R112" si="44">H33/H4</f>
        <v>1.4473001229324096</v>
      </c>
      <c r="I112" s="522">
        <f t="shared" si="44"/>
        <v>1.3477044377817959</v>
      </c>
      <c r="J112" s="522">
        <f t="shared" si="44"/>
        <v>1.5453219918250871</v>
      </c>
      <c r="K112" s="522">
        <f t="shared" si="44"/>
        <v>2.4351734728582572</v>
      </c>
      <c r="L112" s="522">
        <f t="shared" si="44"/>
        <v>1.9539207016419977</v>
      </c>
      <c r="M112" s="522">
        <f t="shared" si="44"/>
        <v>2.5170189749437184</v>
      </c>
      <c r="N112" s="522">
        <f t="shared" si="44"/>
        <v>2.7610046583994738</v>
      </c>
      <c r="O112" s="522">
        <f t="shared" si="44"/>
        <v>2.9991666666666665</v>
      </c>
      <c r="P112" s="522">
        <f t="shared" si="44"/>
        <v>2.8220183486238533</v>
      </c>
      <c r="Q112" s="522">
        <f t="shared" si="44"/>
        <v>2.8386473429951691</v>
      </c>
      <c r="R112" s="522">
        <f t="shared" si="44"/>
        <v>2.7357894736842105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517"/>
      <c r="F113" s="69"/>
      <c r="G113" s="186" t="s">
        <v>288</v>
      </c>
      <c r="H113" s="522">
        <f t="shared" ref="H113:R113" si="45">H33/H15</f>
        <v>35.484258796554862</v>
      </c>
      <c r="I113" s="522">
        <f t="shared" si="45"/>
        <v>72.44006440408134</v>
      </c>
      <c r="J113" s="522">
        <f t="shared" si="45"/>
        <v>153.65582136006657</v>
      </c>
      <c r="K113" s="522">
        <f t="shared" si="45"/>
        <v>213.38960804383163</v>
      </c>
      <c r="L113" s="522">
        <f t="shared" si="45"/>
        <v>192.12354507417268</v>
      </c>
      <c r="M113" s="522">
        <f t="shared" si="45"/>
        <v>19455.276836158191</v>
      </c>
      <c r="N113" s="522" t="e">
        <f t="shared" si="45"/>
        <v>#DIV/0!</v>
      </c>
      <c r="O113" s="522" t="e">
        <f t="shared" si="45"/>
        <v>#DIV/0!</v>
      </c>
      <c r="P113" s="522" t="e">
        <f t="shared" si="45"/>
        <v>#DIV/0!</v>
      </c>
      <c r="Q113" s="522" t="e">
        <f t="shared" si="45"/>
        <v>#DIV/0!</v>
      </c>
      <c r="R113" s="522" t="e">
        <f t="shared" si="45"/>
        <v>#DIV/0!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519">
        <v>0.5</v>
      </c>
      <c r="E114" s="519">
        <f>1/3</f>
        <v>0.33333333333333331</v>
      </c>
      <c r="F114" s="69"/>
      <c r="G114" s="18" t="s">
        <v>292</v>
      </c>
      <c r="H114" s="528">
        <f t="shared" ref="H114:R114" si="46">H27/H4</f>
        <v>0.10358254455700372</v>
      </c>
      <c r="I114" s="528">
        <f t="shared" si="46"/>
        <v>5.9110962719832627E-2</v>
      </c>
      <c r="J114" s="528">
        <f t="shared" si="46"/>
        <v>6.2678939954794108E-2</v>
      </c>
      <c r="K114" s="528">
        <f t="shared" si="46"/>
        <v>0.12324182449679301</v>
      </c>
      <c r="L114" s="528">
        <f t="shared" si="46"/>
        <v>0.34921869136897093</v>
      </c>
      <c r="M114" s="528">
        <f t="shared" si="46"/>
        <v>0.24418179691839903</v>
      </c>
      <c r="N114" s="528">
        <f t="shared" si="46"/>
        <v>0.27390671161451047</v>
      </c>
      <c r="O114" s="528">
        <f t="shared" si="46"/>
        <v>0.33833333333333332</v>
      </c>
      <c r="P114" s="528">
        <f t="shared" si="46"/>
        <v>0.37247706422018351</v>
      </c>
      <c r="Q114" s="528">
        <f t="shared" si="46"/>
        <v>0.39227053140096618</v>
      </c>
      <c r="R114" s="528">
        <f t="shared" si="46"/>
        <v>0.42736842105263156</v>
      </c>
    </row>
    <row r="115" spans="1:19" x14ac:dyDescent="0.2">
      <c r="A115" s="77"/>
      <c r="C115" s="77"/>
      <c r="D115" s="78"/>
      <c r="E115" s="79"/>
      <c r="F115" s="69"/>
      <c r="G115" s="506" t="s">
        <v>293</v>
      </c>
      <c r="H115" s="514">
        <f t="shared" ref="H115:R115" si="47">H109</f>
        <v>2011</v>
      </c>
      <c r="I115" s="514">
        <f t="shared" si="47"/>
        <v>2012</v>
      </c>
      <c r="J115" s="514">
        <f t="shared" si="47"/>
        <v>2013</v>
      </c>
      <c r="K115" s="514">
        <f t="shared" si="47"/>
        <v>2014</v>
      </c>
      <c r="L115" s="514">
        <f t="shared" si="47"/>
        <v>2015</v>
      </c>
      <c r="M115" s="514">
        <f t="shared" si="47"/>
        <v>2016</v>
      </c>
      <c r="N115" s="514">
        <f t="shared" si="47"/>
        <v>2017</v>
      </c>
      <c r="O115" s="514">
        <f t="shared" si="47"/>
        <v>2018</v>
      </c>
      <c r="P115" s="514">
        <f t="shared" si="47"/>
        <v>2019</v>
      </c>
      <c r="Q115" s="514">
        <f t="shared" si="47"/>
        <v>2020</v>
      </c>
      <c r="R115" s="514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519">
        <v>0.95</v>
      </c>
      <c r="G116" s="508" t="s">
        <v>297</v>
      </c>
      <c r="H116" s="521">
        <f t="shared" ref="H116:R116" si="48">H35/H33</f>
        <v>0</v>
      </c>
      <c r="I116" s="521">
        <f t="shared" si="48"/>
        <v>0</v>
      </c>
      <c r="J116" s="521">
        <f t="shared" si="48"/>
        <v>0</v>
      </c>
      <c r="K116" s="521">
        <f t="shared" si="48"/>
        <v>0</v>
      </c>
      <c r="L116" s="521">
        <f t="shared" si="48"/>
        <v>0</v>
      </c>
      <c r="M116" s="521">
        <f t="shared" si="48"/>
        <v>0</v>
      </c>
      <c r="N116" s="521">
        <f t="shared" si="48"/>
        <v>1.2578616352201257E-3</v>
      </c>
      <c r="O116" s="521">
        <f t="shared" si="48"/>
        <v>0</v>
      </c>
      <c r="P116" s="521">
        <f t="shared" si="48"/>
        <v>0</v>
      </c>
      <c r="Q116" s="521">
        <f t="shared" si="48"/>
        <v>0</v>
      </c>
      <c r="R116" s="521">
        <f t="shared" si="48"/>
        <v>0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519">
        <v>0.05</v>
      </c>
      <c r="G117" s="18" t="s">
        <v>301</v>
      </c>
      <c r="H117" s="528">
        <f t="shared" ref="H117:R117" si="49">(H36+H34)/H33</f>
        <v>1</v>
      </c>
      <c r="I117" s="528">
        <f t="shared" si="49"/>
        <v>0.99990809642982104</v>
      </c>
      <c r="J117" s="528">
        <f t="shared" si="49"/>
        <v>1</v>
      </c>
      <c r="K117" s="528">
        <f t="shared" si="49"/>
        <v>0.99996219162188915</v>
      </c>
      <c r="L117" s="528">
        <f t="shared" si="49"/>
        <v>0.99996040331598479</v>
      </c>
      <c r="M117" s="528">
        <f t="shared" si="49"/>
        <v>1</v>
      </c>
      <c r="N117" s="528">
        <f t="shared" si="49"/>
        <v>0.99874213836477987</v>
      </c>
      <c r="O117" s="528">
        <f t="shared" si="49"/>
        <v>1</v>
      </c>
      <c r="P117" s="528">
        <f t="shared" si="49"/>
        <v>1</v>
      </c>
      <c r="Q117" s="528">
        <f t="shared" si="49"/>
        <v>1</v>
      </c>
      <c r="R117" s="528">
        <f t="shared" si="49"/>
        <v>1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519">
        <v>0.05</v>
      </c>
      <c r="G118" s="186" t="s">
        <v>305</v>
      </c>
      <c r="H118" s="521">
        <f t="shared" ref="H118:R118" si="50">H38/(H38+H41)</f>
        <v>0.67923729375321462</v>
      </c>
      <c r="I118" s="521">
        <f t="shared" si="50"/>
        <v>0.66788741825346032</v>
      </c>
      <c r="J118" s="521">
        <f t="shared" si="50"/>
        <v>0.77251327350688781</v>
      </c>
      <c r="K118" s="521">
        <f t="shared" si="50"/>
        <v>0.77013273754689793</v>
      </c>
      <c r="L118" s="521">
        <f t="shared" si="50"/>
        <v>0.62777822098125247</v>
      </c>
      <c r="M118" s="521">
        <f t="shared" si="50"/>
        <v>0.37003685787072971</v>
      </c>
      <c r="N118" s="521">
        <f t="shared" si="50"/>
        <v>0.28154445010211887</v>
      </c>
      <c r="O118" s="521">
        <f t="shared" si="50"/>
        <v>0.26788237617669108</v>
      </c>
      <c r="P118" s="521">
        <f t="shared" si="50"/>
        <v>0.31924577373211965</v>
      </c>
      <c r="Q118" s="521">
        <f t="shared" si="50"/>
        <v>0.33424098025867938</v>
      </c>
      <c r="R118" s="521">
        <f t="shared" si="50"/>
        <v>0.37783762985763758</v>
      </c>
    </row>
    <row r="119" spans="1:19" x14ac:dyDescent="0.2">
      <c r="A119" s="77"/>
      <c r="C119" s="78"/>
      <c r="D119" s="78"/>
      <c r="E119" s="79"/>
      <c r="F119" s="69"/>
      <c r="G119" s="506" t="s">
        <v>306</v>
      </c>
      <c r="H119" s="514">
        <f>H115</f>
        <v>2011</v>
      </c>
      <c r="I119" s="514">
        <f t="shared" ref="I119:R119" si="51">I115</f>
        <v>2012</v>
      </c>
      <c r="J119" s="514">
        <f t="shared" si="51"/>
        <v>2013</v>
      </c>
      <c r="K119" s="514">
        <f t="shared" si="51"/>
        <v>2014</v>
      </c>
      <c r="L119" s="514">
        <f t="shared" si="51"/>
        <v>2015</v>
      </c>
      <c r="M119" s="514">
        <f t="shared" si="51"/>
        <v>2016</v>
      </c>
      <c r="N119" s="514">
        <f t="shared" si="51"/>
        <v>2017</v>
      </c>
      <c r="O119" s="514">
        <f t="shared" si="51"/>
        <v>2018</v>
      </c>
      <c r="P119" s="514">
        <f t="shared" si="51"/>
        <v>2019</v>
      </c>
      <c r="Q119" s="514">
        <f t="shared" si="51"/>
        <v>2020</v>
      </c>
      <c r="R119" s="514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529">
        <v>0.5</v>
      </c>
      <c r="E120" s="530" t="s">
        <v>310</v>
      </c>
      <c r="F120" s="4"/>
      <c r="G120" s="508" t="s">
        <v>311</v>
      </c>
      <c r="H120" s="522" t="str">
        <f t="shared" ref="H120:R120" si="52">IF(H116&lt;$D$120,$E$120,H35/H4)</f>
        <v>N/A</v>
      </c>
      <c r="I120" s="522" t="str">
        <f t="shared" si="52"/>
        <v>N/A</v>
      </c>
      <c r="J120" s="522" t="str">
        <f t="shared" si="52"/>
        <v>N/A</v>
      </c>
      <c r="K120" s="522" t="str">
        <f t="shared" si="52"/>
        <v>N/A</v>
      </c>
      <c r="L120" s="522" t="str">
        <f t="shared" si="52"/>
        <v>N/A</v>
      </c>
      <c r="M120" s="522" t="str">
        <f t="shared" si="52"/>
        <v>N/A</v>
      </c>
      <c r="N120" s="522" t="str">
        <f t="shared" si="52"/>
        <v>N/A</v>
      </c>
      <c r="O120" s="522" t="str">
        <f t="shared" si="52"/>
        <v>N/A</v>
      </c>
      <c r="P120" s="522" t="str">
        <f t="shared" si="52"/>
        <v>N/A</v>
      </c>
      <c r="Q120" s="522" t="str">
        <f t="shared" si="52"/>
        <v>N/A</v>
      </c>
      <c r="R120" s="522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529">
        <v>0.5</v>
      </c>
      <c r="E121" s="530" t="s">
        <v>310</v>
      </c>
      <c r="F121" s="4"/>
      <c r="G121" s="18" t="s">
        <v>315</v>
      </c>
      <c r="H121" s="522" t="str">
        <f t="shared" ref="H121:R121" si="53">IF(H116&lt;$D$121,$E$121,H35/H15)</f>
        <v>N/A</v>
      </c>
      <c r="I121" s="522" t="str">
        <f t="shared" si="53"/>
        <v>N/A</v>
      </c>
      <c r="J121" s="522" t="str">
        <f t="shared" si="53"/>
        <v>N/A</v>
      </c>
      <c r="K121" s="522" t="str">
        <f t="shared" si="53"/>
        <v>N/A</v>
      </c>
      <c r="L121" s="522" t="str">
        <f t="shared" si="53"/>
        <v>N/A</v>
      </c>
      <c r="M121" s="522" t="str">
        <f t="shared" si="53"/>
        <v>N/A</v>
      </c>
      <c r="N121" s="522" t="str">
        <f t="shared" si="53"/>
        <v>N/A</v>
      </c>
      <c r="O121" s="522" t="str">
        <f t="shared" si="53"/>
        <v>N/A</v>
      </c>
      <c r="P121" s="522" t="str">
        <f t="shared" si="53"/>
        <v>N/A</v>
      </c>
      <c r="Q121" s="522" t="str">
        <f t="shared" si="53"/>
        <v>N/A</v>
      </c>
      <c r="R121" s="522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529">
        <v>0.5</v>
      </c>
      <c r="E122" s="530" t="s">
        <v>310</v>
      </c>
      <c r="F122" s="4"/>
      <c r="G122" s="508" t="s">
        <v>318</v>
      </c>
      <c r="H122" s="528" t="str">
        <f t="shared" ref="H122:R122" si="54">IF(H116&lt;$D$122,$E$122,H46/H33)</f>
        <v>N/A</v>
      </c>
      <c r="I122" s="528" t="str">
        <f t="shared" si="54"/>
        <v>N/A</v>
      </c>
      <c r="J122" s="528" t="str">
        <f t="shared" si="54"/>
        <v>N/A</v>
      </c>
      <c r="K122" s="528" t="str">
        <f t="shared" si="54"/>
        <v>N/A</v>
      </c>
      <c r="L122" s="528" t="str">
        <f t="shared" si="54"/>
        <v>N/A</v>
      </c>
      <c r="M122" s="528" t="str">
        <f t="shared" si="54"/>
        <v>N/A</v>
      </c>
      <c r="N122" s="528" t="str">
        <f t="shared" si="54"/>
        <v>N/A</v>
      </c>
      <c r="O122" s="528" t="str">
        <f t="shared" si="54"/>
        <v>N/A</v>
      </c>
      <c r="P122" s="528" t="str">
        <f t="shared" si="54"/>
        <v>N/A</v>
      </c>
      <c r="Q122" s="528" t="str">
        <f t="shared" si="54"/>
        <v>N/A</v>
      </c>
      <c r="R122" s="528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529">
        <v>0.5</v>
      </c>
      <c r="E123" s="530" t="s">
        <v>310</v>
      </c>
      <c r="F123" s="4"/>
      <c r="G123" s="18" t="s">
        <v>322</v>
      </c>
      <c r="H123" s="528" t="str">
        <f t="shared" ref="H123:R123" si="55">IF(H116&lt;$D$122,$E$123,H51/H33)</f>
        <v>N/A</v>
      </c>
      <c r="I123" s="528" t="str">
        <f t="shared" si="55"/>
        <v>N/A</v>
      </c>
      <c r="J123" s="528" t="str">
        <f t="shared" si="55"/>
        <v>N/A</v>
      </c>
      <c r="K123" s="528" t="str">
        <f t="shared" si="55"/>
        <v>N/A</v>
      </c>
      <c r="L123" s="528" t="str">
        <f t="shared" si="55"/>
        <v>N/A</v>
      </c>
      <c r="M123" s="528" t="str">
        <f t="shared" si="55"/>
        <v>N/A</v>
      </c>
      <c r="N123" s="528" t="str">
        <f t="shared" si="55"/>
        <v>N/A</v>
      </c>
      <c r="O123" s="528" t="str">
        <f t="shared" si="55"/>
        <v>N/A</v>
      </c>
      <c r="P123" s="528" t="str">
        <f t="shared" si="55"/>
        <v>N/A</v>
      </c>
      <c r="Q123" s="528" t="str">
        <f t="shared" si="55"/>
        <v>N/A</v>
      </c>
      <c r="R123" s="528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529">
        <v>0.5</v>
      </c>
      <c r="E124" s="530" t="s">
        <v>310</v>
      </c>
      <c r="F124" s="4"/>
      <c r="G124" s="18" t="s">
        <v>326</v>
      </c>
      <c r="H124" s="528" t="str">
        <f t="shared" ref="H124:R124" si="56">IF(H116&lt;$D$124,$E$124,H51/H4)</f>
        <v>N/A</v>
      </c>
      <c r="I124" s="528" t="str">
        <f t="shared" si="56"/>
        <v>N/A</v>
      </c>
      <c r="J124" s="528" t="str">
        <f t="shared" si="56"/>
        <v>N/A</v>
      </c>
      <c r="K124" s="528" t="str">
        <f t="shared" si="56"/>
        <v>N/A</v>
      </c>
      <c r="L124" s="528" t="str">
        <f t="shared" si="56"/>
        <v>N/A</v>
      </c>
      <c r="M124" s="528" t="str">
        <f t="shared" si="56"/>
        <v>N/A</v>
      </c>
      <c r="N124" s="528" t="str">
        <f t="shared" si="56"/>
        <v>N/A</v>
      </c>
      <c r="O124" s="528" t="str">
        <f t="shared" si="56"/>
        <v>N/A</v>
      </c>
      <c r="P124" s="528" t="str">
        <f t="shared" si="56"/>
        <v>N/A</v>
      </c>
      <c r="Q124" s="528" t="str">
        <f t="shared" si="56"/>
        <v>N/A</v>
      </c>
      <c r="R124" s="528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529">
        <v>0.5</v>
      </c>
      <c r="E125" s="530" t="s">
        <v>310</v>
      </c>
      <c r="F125" s="4"/>
      <c r="G125" s="186" t="s">
        <v>330</v>
      </c>
      <c r="H125" s="528" t="str">
        <f t="shared" ref="H125:R125" si="57">IF(H116&lt;$D$125,$E$125,H51/H27)</f>
        <v>N/A</v>
      </c>
      <c r="I125" s="528" t="str">
        <f t="shared" si="57"/>
        <v>N/A</v>
      </c>
      <c r="J125" s="528" t="str">
        <f t="shared" si="57"/>
        <v>N/A</v>
      </c>
      <c r="K125" s="528" t="str">
        <f t="shared" si="57"/>
        <v>N/A</v>
      </c>
      <c r="L125" s="528" t="str">
        <f t="shared" si="57"/>
        <v>N/A</v>
      </c>
      <c r="M125" s="528" t="str">
        <f t="shared" si="57"/>
        <v>N/A</v>
      </c>
      <c r="N125" s="528" t="str">
        <f t="shared" si="57"/>
        <v>N/A</v>
      </c>
      <c r="O125" s="528" t="str">
        <f t="shared" si="57"/>
        <v>N/A</v>
      </c>
      <c r="P125" s="528" t="str">
        <f t="shared" si="57"/>
        <v>N/A</v>
      </c>
      <c r="Q125" s="528" t="str">
        <f t="shared" si="57"/>
        <v>N/A</v>
      </c>
      <c r="R125" s="528" t="str">
        <f t="shared" si="57"/>
        <v>N/A</v>
      </c>
    </row>
    <row r="126" spans="1:19" x14ac:dyDescent="0.2">
      <c r="C126" s="78"/>
      <c r="D126" s="78"/>
      <c r="E126" s="79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H127" s="514">
        <f>H119</f>
        <v>2011</v>
      </c>
      <c r="I127" s="514">
        <f t="shared" ref="I127:R127" si="58">I119</f>
        <v>2012</v>
      </c>
      <c r="J127" s="514">
        <f t="shared" si="58"/>
        <v>2013</v>
      </c>
      <c r="K127" s="514">
        <f t="shared" si="58"/>
        <v>2014</v>
      </c>
      <c r="L127" s="514">
        <f t="shared" si="58"/>
        <v>2015</v>
      </c>
      <c r="M127" s="514">
        <f t="shared" si="58"/>
        <v>2016</v>
      </c>
      <c r="N127" s="514">
        <f t="shared" si="58"/>
        <v>2017</v>
      </c>
      <c r="O127" s="514">
        <f t="shared" si="58"/>
        <v>2018</v>
      </c>
      <c r="P127" s="514">
        <f t="shared" si="58"/>
        <v>2019</v>
      </c>
      <c r="Q127" s="514">
        <f t="shared" si="58"/>
        <v>2020</v>
      </c>
      <c r="R127" s="514">
        <f t="shared" si="58"/>
        <v>2021</v>
      </c>
    </row>
    <row r="128" spans="1:19" x14ac:dyDescent="0.2">
      <c r="G128" s="531" t="s">
        <v>331</v>
      </c>
      <c r="H128" s="532">
        <f t="shared" ref="H128:R128" si="59">H33</f>
        <v>3621.4169999999999</v>
      </c>
      <c r="I128" s="532">
        <f t="shared" si="59"/>
        <v>4004.1970000000001</v>
      </c>
      <c r="J128" s="532">
        <f t="shared" si="59"/>
        <v>4245.6639999999998</v>
      </c>
      <c r="K128" s="532">
        <f t="shared" si="59"/>
        <v>3544.1880000000001</v>
      </c>
      <c r="L128" s="532">
        <f t="shared" si="59"/>
        <v>2525.4639999999999</v>
      </c>
      <c r="M128" s="532">
        <f t="shared" si="59"/>
        <v>3443.5839999999998</v>
      </c>
      <c r="N128" s="532">
        <f t="shared" si="59"/>
        <v>4770</v>
      </c>
      <c r="O128" s="532">
        <f t="shared" si="59"/>
        <v>3599</v>
      </c>
      <c r="P128" s="532">
        <f t="shared" si="59"/>
        <v>3076</v>
      </c>
      <c r="Q128" s="532">
        <f t="shared" si="59"/>
        <v>2938</v>
      </c>
      <c r="R128" s="532">
        <f t="shared" si="59"/>
        <v>2599</v>
      </c>
    </row>
    <row r="129" spans="3:19" x14ac:dyDescent="0.2">
      <c r="G129" s="531" t="s">
        <v>332</v>
      </c>
      <c r="H129" s="532">
        <f t="shared" ref="H129:R130" si="60">H35</f>
        <v>0</v>
      </c>
      <c r="I129" s="532">
        <f t="shared" si="60"/>
        <v>0</v>
      </c>
      <c r="J129" s="532">
        <f t="shared" si="60"/>
        <v>0</v>
      </c>
      <c r="K129" s="532">
        <f t="shared" si="60"/>
        <v>0</v>
      </c>
      <c r="L129" s="532">
        <f t="shared" si="60"/>
        <v>0</v>
      </c>
      <c r="M129" s="532">
        <f t="shared" si="60"/>
        <v>0</v>
      </c>
      <c r="N129" s="532">
        <f t="shared" si="60"/>
        <v>6</v>
      </c>
      <c r="O129" s="532">
        <f t="shared" si="60"/>
        <v>0</v>
      </c>
      <c r="P129" s="532">
        <f t="shared" si="60"/>
        <v>0</v>
      </c>
      <c r="Q129" s="532">
        <f t="shared" si="60"/>
        <v>0</v>
      </c>
      <c r="R129" s="532">
        <f t="shared" si="60"/>
        <v>0</v>
      </c>
    </row>
    <row r="130" spans="3:19" x14ac:dyDescent="0.2">
      <c r="G130" s="531" t="s">
        <v>333</v>
      </c>
      <c r="H130" s="532">
        <f t="shared" si="60"/>
        <v>3621.4169999999999</v>
      </c>
      <c r="I130" s="532">
        <f t="shared" si="60"/>
        <v>4003.8290000000002</v>
      </c>
      <c r="J130" s="532">
        <f t="shared" si="60"/>
        <v>4245.6639999999998</v>
      </c>
      <c r="K130" s="532">
        <f t="shared" si="60"/>
        <v>3544.0540000000001</v>
      </c>
      <c r="L130" s="532">
        <f t="shared" si="60"/>
        <v>2525.364</v>
      </c>
      <c r="M130" s="532">
        <f t="shared" si="60"/>
        <v>3443.5839999999998</v>
      </c>
      <c r="N130" s="532">
        <f t="shared" si="60"/>
        <v>4764</v>
      </c>
      <c r="O130" s="532">
        <f t="shared" si="60"/>
        <v>3599</v>
      </c>
      <c r="P130" s="532">
        <f t="shared" si="60"/>
        <v>3076</v>
      </c>
      <c r="Q130" s="532">
        <f t="shared" si="60"/>
        <v>2938</v>
      </c>
      <c r="R130" s="532">
        <f t="shared" si="60"/>
        <v>2599</v>
      </c>
    </row>
    <row r="131" spans="3:19" x14ac:dyDescent="0.2">
      <c r="G131" s="531" t="s">
        <v>334</v>
      </c>
      <c r="H131" s="532">
        <f t="shared" ref="H131:R131" si="61">H38+H41</f>
        <v>-3695.9969999999998</v>
      </c>
      <c r="I131" s="532">
        <f t="shared" si="61"/>
        <v>-4089.0109999999995</v>
      </c>
      <c r="J131" s="532">
        <f t="shared" si="61"/>
        <v>-4246.6170000000002</v>
      </c>
      <c r="K131" s="532">
        <f t="shared" si="61"/>
        <v>-3537.7330000000002</v>
      </c>
      <c r="L131" s="532">
        <f t="shared" si="61"/>
        <v>-2256.3000000000002</v>
      </c>
      <c r="M131" s="532">
        <f t="shared" si="61"/>
        <v>-3563.4180000000001</v>
      </c>
      <c r="N131" s="532">
        <f t="shared" si="61"/>
        <v>-4630.8779999999997</v>
      </c>
      <c r="O131" s="532">
        <f t="shared" si="61"/>
        <v>-3665.788</v>
      </c>
      <c r="P131" s="532">
        <f t="shared" si="61"/>
        <v>-3076</v>
      </c>
      <c r="Q131" s="532">
        <f t="shared" si="61"/>
        <v>-2938</v>
      </c>
      <c r="R131" s="532">
        <f t="shared" si="61"/>
        <v>-2599</v>
      </c>
    </row>
    <row r="132" spans="3:19" x14ac:dyDescent="0.2">
      <c r="G132" s="531" t="s">
        <v>335</v>
      </c>
      <c r="H132" s="532">
        <f t="shared" ref="H132:R132" si="62">H41</f>
        <v>-1185.538</v>
      </c>
      <c r="I132" s="532">
        <f t="shared" si="62"/>
        <v>-1358.0119999999999</v>
      </c>
      <c r="J132" s="532">
        <f t="shared" si="62"/>
        <v>-966.04899999999998</v>
      </c>
      <c r="K132" s="532">
        <f t="shared" si="62"/>
        <v>-813.20900000000006</v>
      </c>
      <c r="L132" s="532">
        <f t="shared" si="62"/>
        <v>-839.84400000000016</v>
      </c>
      <c r="M132" s="532">
        <f t="shared" si="62"/>
        <v>-2244.8220000000001</v>
      </c>
      <c r="N132" s="532">
        <f t="shared" si="62"/>
        <v>-3327.08</v>
      </c>
      <c r="O132" s="532">
        <f t="shared" si="62"/>
        <v>-2683.788</v>
      </c>
      <c r="P132" s="532">
        <f t="shared" si="62"/>
        <v>-2094</v>
      </c>
      <c r="Q132" s="532">
        <f t="shared" si="62"/>
        <v>-1956</v>
      </c>
      <c r="R132" s="532">
        <f t="shared" si="62"/>
        <v>-1617</v>
      </c>
    </row>
    <row r="133" spans="3:19" x14ac:dyDescent="0.2">
      <c r="G133" s="531" t="s">
        <v>336</v>
      </c>
      <c r="H133" s="532">
        <f t="shared" ref="H133:R133" si="63">H38</f>
        <v>-2510.4589999999998</v>
      </c>
      <c r="I133" s="532">
        <f t="shared" si="63"/>
        <v>-2730.9989999999998</v>
      </c>
      <c r="J133" s="532">
        <f t="shared" si="63"/>
        <v>-3280.5679999999998</v>
      </c>
      <c r="K133" s="532">
        <f t="shared" si="63"/>
        <v>-2724.5239999999999</v>
      </c>
      <c r="L133" s="532">
        <f t="shared" si="63"/>
        <v>-1416.4560000000001</v>
      </c>
      <c r="M133" s="532">
        <f t="shared" si="63"/>
        <v>-1318.596</v>
      </c>
      <c r="N133" s="532">
        <f t="shared" si="63"/>
        <v>-1303.798</v>
      </c>
      <c r="O133" s="532">
        <f t="shared" si="63"/>
        <v>-982</v>
      </c>
      <c r="P133" s="532">
        <f t="shared" si="63"/>
        <v>-982</v>
      </c>
      <c r="Q133" s="532">
        <f t="shared" si="63"/>
        <v>-982</v>
      </c>
      <c r="R133" s="532">
        <f t="shared" si="63"/>
        <v>-982</v>
      </c>
    </row>
    <row r="134" spans="3:19" x14ac:dyDescent="0.2">
      <c r="G134" s="531" t="s">
        <v>337</v>
      </c>
      <c r="H134" s="532">
        <f t="shared" ref="H134:R134" si="64">H46</f>
        <v>-74.579999999999927</v>
      </c>
      <c r="I134" s="532">
        <f t="shared" si="64"/>
        <v>-84.813999999999623</v>
      </c>
      <c r="J134" s="532">
        <f t="shared" si="64"/>
        <v>-0.95299999999997453</v>
      </c>
      <c r="K134" s="532">
        <f t="shared" si="64"/>
        <v>6.4550000000001546</v>
      </c>
      <c r="L134" s="532">
        <f t="shared" si="64"/>
        <v>269.16399999999965</v>
      </c>
      <c r="M134" s="532">
        <f t="shared" si="64"/>
        <v>-119.83400000000029</v>
      </c>
      <c r="N134" s="532">
        <f t="shared" si="64"/>
        <v>139.1220000000003</v>
      </c>
      <c r="O134" s="532">
        <f t="shared" si="64"/>
        <v>-66.788000000000011</v>
      </c>
      <c r="P134" s="532">
        <f t="shared" si="64"/>
        <v>0</v>
      </c>
      <c r="Q134" s="532">
        <f t="shared" si="64"/>
        <v>0</v>
      </c>
      <c r="R134" s="532">
        <f t="shared" si="64"/>
        <v>0</v>
      </c>
    </row>
    <row r="135" spans="3:19" x14ac:dyDescent="0.2">
      <c r="G135" s="531" t="s">
        <v>338</v>
      </c>
      <c r="H135" s="532">
        <f t="shared" ref="H135:R135" si="65">H51</f>
        <v>-71.119999999999933</v>
      </c>
      <c r="I135" s="532">
        <f t="shared" si="65"/>
        <v>-83.556999999999618</v>
      </c>
      <c r="J135" s="532">
        <f t="shared" si="65"/>
        <v>-3.4199999999999746</v>
      </c>
      <c r="K135" s="532">
        <f t="shared" si="65"/>
        <v>7.1630000000001548</v>
      </c>
      <c r="L135" s="532">
        <f t="shared" si="65"/>
        <v>271.54999999999967</v>
      </c>
      <c r="M135" s="532">
        <f t="shared" si="65"/>
        <v>-117.29700000000028</v>
      </c>
      <c r="N135" s="532">
        <f t="shared" si="65"/>
        <v>139.1220000000003</v>
      </c>
      <c r="O135" s="532">
        <f t="shared" si="65"/>
        <v>-66.788000000000011</v>
      </c>
      <c r="P135" s="532">
        <f t="shared" si="65"/>
        <v>0</v>
      </c>
      <c r="Q135" s="532">
        <f t="shared" si="65"/>
        <v>0</v>
      </c>
      <c r="R135" s="532">
        <f t="shared" si="65"/>
        <v>0</v>
      </c>
    </row>
    <row r="136" spans="3:19" x14ac:dyDescent="0.2">
      <c r="G136" s="531" t="s">
        <v>339</v>
      </c>
      <c r="H136" s="532">
        <f t="shared" ref="H136:R137" si="66">H4</f>
        <v>2502.1879999999996</v>
      </c>
      <c r="I136" s="532">
        <f t="shared" si="66"/>
        <v>2971.1239999999998</v>
      </c>
      <c r="J136" s="532">
        <f t="shared" si="66"/>
        <v>2747.4300000000003</v>
      </c>
      <c r="K136" s="532">
        <f t="shared" si="66"/>
        <v>1455.415</v>
      </c>
      <c r="L136" s="532">
        <f t="shared" si="66"/>
        <v>1292.511</v>
      </c>
      <c r="M136" s="532">
        <f t="shared" si="66"/>
        <v>1368.12</v>
      </c>
      <c r="N136" s="532">
        <f t="shared" si="66"/>
        <v>1727.6320000000001</v>
      </c>
      <c r="O136" s="532">
        <f t="shared" si="66"/>
        <v>1200</v>
      </c>
      <c r="P136" s="532">
        <f t="shared" si="66"/>
        <v>1090</v>
      </c>
      <c r="Q136" s="532">
        <f t="shared" si="66"/>
        <v>1035</v>
      </c>
      <c r="R136" s="532">
        <f t="shared" si="66"/>
        <v>950</v>
      </c>
    </row>
    <row r="137" spans="3:19" x14ac:dyDescent="0.2">
      <c r="G137" s="531" t="s">
        <v>340</v>
      </c>
      <c r="H137" s="532">
        <f t="shared" si="66"/>
        <v>2400.1309999999999</v>
      </c>
      <c r="I137" s="532">
        <f t="shared" si="66"/>
        <v>2915.848</v>
      </c>
      <c r="J137" s="532">
        <f t="shared" si="66"/>
        <v>2706.84</v>
      </c>
      <c r="K137" s="532">
        <f t="shared" si="66"/>
        <v>1425.3589999999999</v>
      </c>
      <c r="L137" s="532">
        <f t="shared" si="66"/>
        <v>1266.415</v>
      </c>
      <c r="M137" s="532">
        <f t="shared" si="66"/>
        <v>1366.933</v>
      </c>
      <c r="N137" s="532">
        <f t="shared" si="66"/>
        <v>1726.732</v>
      </c>
      <c r="O137" s="532">
        <f t="shared" si="66"/>
        <v>1200</v>
      </c>
      <c r="P137" s="532">
        <f t="shared" si="66"/>
        <v>1090</v>
      </c>
      <c r="Q137" s="532">
        <f t="shared" si="66"/>
        <v>1035</v>
      </c>
      <c r="R137" s="532">
        <f t="shared" si="66"/>
        <v>950</v>
      </c>
    </row>
    <row r="138" spans="3:19" x14ac:dyDescent="0.2">
      <c r="G138" s="531" t="s">
        <v>341</v>
      </c>
      <c r="H138" s="532">
        <f t="shared" ref="H138:R138" si="67">H10</f>
        <v>102.057</v>
      </c>
      <c r="I138" s="532">
        <f t="shared" si="67"/>
        <v>55.276000000000003</v>
      </c>
      <c r="J138" s="532">
        <f t="shared" si="67"/>
        <v>40.590000000000003</v>
      </c>
      <c r="K138" s="532">
        <f t="shared" si="67"/>
        <v>30.056000000000001</v>
      </c>
      <c r="L138" s="532">
        <f t="shared" si="67"/>
        <v>26.096</v>
      </c>
      <c r="M138" s="532">
        <f t="shared" si="67"/>
        <v>1.1870000000000001</v>
      </c>
      <c r="N138" s="532">
        <f t="shared" si="67"/>
        <v>0.9</v>
      </c>
      <c r="O138" s="532">
        <f t="shared" si="67"/>
        <v>0</v>
      </c>
      <c r="P138" s="532">
        <f t="shared" si="67"/>
        <v>0</v>
      </c>
      <c r="Q138" s="532">
        <f t="shared" si="67"/>
        <v>0</v>
      </c>
      <c r="R138" s="532">
        <f t="shared" si="67"/>
        <v>0</v>
      </c>
    </row>
    <row r="139" spans="3:19" x14ac:dyDescent="0.2">
      <c r="G139" s="531" t="s">
        <v>342</v>
      </c>
      <c r="H139" s="532">
        <f t="shared" ref="H139:R140" si="68">H19</f>
        <v>2243.0070000000001</v>
      </c>
      <c r="I139" s="532">
        <f t="shared" si="68"/>
        <v>2795.4989999999998</v>
      </c>
      <c r="J139" s="532">
        <f t="shared" si="68"/>
        <v>2575.223</v>
      </c>
      <c r="K139" s="532">
        <f t="shared" si="68"/>
        <v>1276.047</v>
      </c>
      <c r="L139" s="532">
        <f t="shared" si="68"/>
        <v>841.14099999999996</v>
      </c>
      <c r="M139" s="532">
        <f t="shared" si="68"/>
        <v>1033.873</v>
      </c>
      <c r="N139" s="532">
        <f t="shared" si="68"/>
        <v>1254</v>
      </c>
      <c r="O139" s="532">
        <f t="shared" si="68"/>
        <v>794</v>
      </c>
      <c r="P139" s="532">
        <f t="shared" si="68"/>
        <v>684</v>
      </c>
      <c r="Q139" s="532">
        <f t="shared" si="68"/>
        <v>629</v>
      </c>
      <c r="R139" s="532">
        <f t="shared" si="68"/>
        <v>544</v>
      </c>
    </row>
    <row r="140" spans="3:19" x14ac:dyDescent="0.2">
      <c r="G140" s="531" t="s">
        <v>343</v>
      </c>
      <c r="H140" s="532">
        <f t="shared" si="68"/>
        <v>2243.0039999999999</v>
      </c>
      <c r="I140" s="532">
        <f t="shared" si="68"/>
        <v>2795.4989999999998</v>
      </c>
      <c r="J140" s="532">
        <f t="shared" si="68"/>
        <v>2575.223</v>
      </c>
      <c r="K140" s="532">
        <f t="shared" si="68"/>
        <v>1276.047</v>
      </c>
      <c r="L140" s="532">
        <f t="shared" si="68"/>
        <v>841.14099999999996</v>
      </c>
      <c r="M140" s="532">
        <f t="shared" si="68"/>
        <v>0</v>
      </c>
      <c r="N140" s="532">
        <f t="shared" si="68"/>
        <v>0</v>
      </c>
      <c r="O140" s="532">
        <f t="shared" si="68"/>
        <v>0</v>
      </c>
      <c r="P140" s="532">
        <f t="shared" si="68"/>
        <v>0</v>
      </c>
      <c r="Q140" s="532">
        <f t="shared" si="68"/>
        <v>0</v>
      </c>
      <c r="R140" s="532">
        <f t="shared" si="68"/>
        <v>0</v>
      </c>
    </row>
    <row r="141" spans="3:19" x14ac:dyDescent="0.2">
      <c r="G141" s="531" t="s">
        <v>344</v>
      </c>
      <c r="H141" s="532">
        <f t="shared" ref="H141:R141" si="69">H24</f>
        <v>0</v>
      </c>
      <c r="I141" s="532">
        <f t="shared" si="69"/>
        <v>0</v>
      </c>
      <c r="J141" s="532">
        <f t="shared" si="69"/>
        <v>0</v>
      </c>
      <c r="K141" s="532">
        <f t="shared" si="69"/>
        <v>0</v>
      </c>
      <c r="L141" s="532">
        <f t="shared" si="69"/>
        <v>0</v>
      </c>
      <c r="M141" s="532">
        <f t="shared" si="69"/>
        <v>0</v>
      </c>
      <c r="N141" s="532">
        <f t="shared" si="69"/>
        <v>0</v>
      </c>
      <c r="O141" s="532">
        <f t="shared" si="69"/>
        <v>0</v>
      </c>
      <c r="P141" s="532">
        <f t="shared" si="69"/>
        <v>0</v>
      </c>
      <c r="Q141" s="532">
        <f t="shared" si="69"/>
        <v>0</v>
      </c>
      <c r="R141" s="532">
        <f t="shared" si="69"/>
        <v>0</v>
      </c>
    </row>
    <row r="142" spans="3:19" x14ac:dyDescent="0.2">
      <c r="G142" s="531" t="s">
        <v>345</v>
      </c>
      <c r="H142" s="532">
        <f t="shared" ref="H142:R142" si="70">H27</f>
        <v>259.18299999999999</v>
      </c>
      <c r="I142" s="532">
        <f t="shared" si="70"/>
        <v>175.62599999999998</v>
      </c>
      <c r="J142" s="532">
        <f t="shared" si="70"/>
        <v>172.20599999999999</v>
      </c>
      <c r="K142" s="532">
        <f t="shared" si="70"/>
        <v>179.36799999999999</v>
      </c>
      <c r="L142" s="532">
        <f t="shared" si="70"/>
        <v>451.36899999999997</v>
      </c>
      <c r="M142" s="532">
        <f t="shared" si="70"/>
        <v>334.07000000000005</v>
      </c>
      <c r="N142" s="532">
        <f t="shared" si="70"/>
        <v>473.21</v>
      </c>
      <c r="O142" s="532">
        <f t="shared" si="70"/>
        <v>406</v>
      </c>
      <c r="P142" s="532">
        <f t="shared" si="70"/>
        <v>406</v>
      </c>
      <c r="Q142" s="532">
        <f t="shared" si="70"/>
        <v>406</v>
      </c>
      <c r="R142" s="532">
        <f t="shared" si="70"/>
        <v>406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00:Q100">
    <cfRule type="cellIs" dxfId="1652" priority="30" stopIfTrue="1" operator="between">
      <formula>$D$100</formula>
      <formula>$E$100</formula>
    </cfRule>
    <cfRule type="cellIs" dxfId="1651" priority="31" stopIfTrue="1" operator="lessThanOrEqual">
      <formula>$D$100</formula>
    </cfRule>
    <cfRule type="cellIs" dxfId="1650" priority="32" stopIfTrue="1" operator="greaterThan">
      <formula>$E$100</formula>
    </cfRule>
  </conditionalFormatting>
  <conditionalFormatting sqref="H116:Q116">
    <cfRule type="cellIs" dxfId="1649" priority="51" stopIfTrue="1" operator="greaterThan">
      <formula>$E$116</formula>
    </cfRule>
    <cfRule type="cellIs" dxfId="1648" priority="52" stopIfTrue="1" operator="lessThanOrEqual">
      <formula>$E$116</formula>
    </cfRule>
  </conditionalFormatting>
  <conditionalFormatting sqref="H118:Q118">
    <cfRule type="cellIs" dxfId="1647" priority="49" stopIfTrue="1" operator="lessThanOrEqual">
      <formula>$E$118</formula>
    </cfRule>
    <cfRule type="cellIs" dxfId="1646" priority="50" stopIfTrue="1" operator="greaterThan">
      <formula>$E$118</formula>
    </cfRule>
  </conditionalFormatting>
  <conditionalFormatting sqref="H99:Q99">
    <cfRule type="cellIs" dxfId="1645" priority="47" operator="greaterThan">
      <formula>$E$99</formula>
    </cfRule>
    <cfRule type="cellIs" dxfId="1644" priority="48" operator="lessThanOrEqual">
      <formula>$E$99</formula>
    </cfRule>
  </conditionalFormatting>
  <conditionalFormatting sqref="H102:Q102">
    <cfRule type="cellIs" dxfId="1643" priority="45" stopIfTrue="1" operator="greaterThanOrEqual">
      <formula>$E$102</formula>
    </cfRule>
    <cfRule type="cellIs" dxfId="1642" priority="46" stopIfTrue="1" operator="lessThan">
      <formula>$E$102</formula>
    </cfRule>
  </conditionalFormatting>
  <conditionalFormatting sqref="H104:Q104">
    <cfRule type="cellIs" dxfId="1641" priority="43" stopIfTrue="1" operator="lessThan">
      <formula>$E$104</formula>
    </cfRule>
    <cfRule type="cellIs" dxfId="1640" priority="44" stopIfTrue="1" operator="greaterThanOrEqual">
      <formula>$E$104</formula>
    </cfRule>
  </conditionalFormatting>
  <conditionalFormatting sqref="H103:Q103">
    <cfRule type="cellIs" dxfId="1639" priority="41" stopIfTrue="1" operator="greaterThan">
      <formula>$E$103</formula>
    </cfRule>
    <cfRule type="cellIs" dxfId="1638" priority="42" stopIfTrue="1" operator="lessThanOrEqual">
      <formula>$E$103</formula>
    </cfRule>
  </conditionalFormatting>
  <conditionalFormatting sqref="H117:Q117">
    <cfRule type="cellIs" dxfId="1637" priority="39" stopIfTrue="1" operator="greaterThan">
      <formula>$E$117</formula>
    </cfRule>
    <cfRule type="cellIs" dxfId="1636" priority="40" stopIfTrue="1" operator="lessThanOrEqual">
      <formula>$E$117</formula>
    </cfRule>
  </conditionalFormatting>
  <conditionalFormatting sqref="H107:Q107">
    <cfRule type="cellIs" dxfId="1635" priority="37" stopIfTrue="1" operator="greaterThan">
      <formula>$E$107</formula>
    </cfRule>
    <cfRule type="cellIs" dxfId="1634" priority="38" stopIfTrue="1" operator="lessThanOrEqual">
      <formula>$E$107</formula>
    </cfRule>
  </conditionalFormatting>
  <conditionalFormatting sqref="H108:Q108">
    <cfRule type="cellIs" dxfId="1633" priority="35" stopIfTrue="1" operator="lessThan">
      <formula>$E$108</formula>
    </cfRule>
    <cfRule type="cellIs" dxfId="1632" priority="36" stopIfTrue="1" operator="greaterThanOrEqual">
      <formula>$E$108</formula>
    </cfRule>
  </conditionalFormatting>
  <conditionalFormatting sqref="H93:Q93">
    <cfRule type="cellIs" dxfId="1631" priority="53" stopIfTrue="1" operator="lessThan">
      <formula>$D$93</formula>
    </cfRule>
    <cfRule type="cellIs" dxfId="1630" priority="54" stopIfTrue="1" operator="between">
      <formula>$D$93</formula>
      <formula>$E$93</formula>
    </cfRule>
    <cfRule type="cellIs" dxfId="1629" priority="55" stopIfTrue="1" operator="greaterThan">
      <formula>$E$93</formula>
    </cfRule>
  </conditionalFormatting>
  <conditionalFormatting sqref="H114:Q114">
    <cfRule type="cellIs" dxfId="1628" priority="56" stopIfTrue="1" operator="lessThan">
      <formula>$E$114</formula>
    </cfRule>
    <cfRule type="cellIs" dxfId="1627" priority="57" stopIfTrue="1" operator="between">
      <formula>$D$114</formula>
      <formula>$E$114</formula>
    </cfRule>
    <cfRule type="cellIs" dxfId="1626" priority="58" stopIfTrue="1" operator="greaterThanOrEqual">
      <formula>$D$114</formula>
    </cfRule>
  </conditionalFormatting>
  <conditionalFormatting sqref="H90:Q90">
    <cfRule type="cellIs" dxfId="1625" priority="33" stopIfTrue="1" operator="lessThan">
      <formula>$E$90</formula>
    </cfRule>
    <cfRule type="cellIs" dxfId="1624" priority="34" stopIfTrue="1" operator="greaterThan">
      <formula>$E$90</formula>
    </cfRule>
  </conditionalFormatting>
  <conditionalFormatting sqref="R100">
    <cfRule type="cellIs" dxfId="1623" priority="1" stopIfTrue="1" operator="between">
      <formula>$D$100</formula>
      <formula>$E$100</formula>
    </cfRule>
    <cfRule type="cellIs" dxfId="1622" priority="2" stopIfTrue="1" operator="lessThanOrEqual">
      <formula>$D$100</formula>
    </cfRule>
    <cfRule type="cellIs" dxfId="1621" priority="3" stopIfTrue="1" operator="greaterThan">
      <formula>$E$100</formula>
    </cfRule>
  </conditionalFormatting>
  <conditionalFormatting sqref="R116">
    <cfRule type="cellIs" dxfId="1620" priority="22" stopIfTrue="1" operator="greaterThan">
      <formula>$E$116</formula>
    </cfRule>
    <cfRule type="cellIs" dxfId="1619" priority="23" stopIfTrue="1" operator="lessThanOrEqual">
      <formula>$E$116</formula>
    </cfRule>
  </conditionalFormatting>
  <conditionalFormatting sqref="R118">
    <cfRule type="cellIs" dxfId="1618" priority="20" stopIfTrue="1" operator="lessThanOrEqual">
      <formula>$E$118</formula>
    </cfRule>
    <cfRule type="cellIs" dxfId="1617" priority="21" stopIfTrue="1" operator="greaterThan">
      <formula>$E$118</formula>
    </cfRule>
  </conditionalFormatting>
  <conditionalFormatting sqref="R99">
    <cfRule type="cellIs" dxfId="1616" priority="18" operator="greaterThan">
      <formula>$E$99</formula>
    </cfRule>
    <cfRule type="cellIs" dxfId="1615" priority="19" operator="lessThanOrEqual">
      <formula>$E$99</formula>
    </cfRule>
  </conditionalFormatting>
  <conditionalFormatting sqref="R102">
    <cfRule type="cellIs" dxfId="1614" priority="16" stopIfTrue="1" operator="greaterThanOrEqual">
      <formula>$E$102</formula>
    </cfRule>
    <cfRule type="cellIs" dxfId="1613" priority="17" stopIfTrue="1" operator="lessThan">
      <formula>$E$102</formula>
    </cfRule>
  </conditionalFormatting>
  <conditionalFormatting sqref="R104">
    <cfRule type="cellIs" dxfId="1612" priority="14" stopIfTrue="1" operator="lessThan">
      <formula>$E$104</formula>
    </cfRule>
    <cfRule type="cellIs" dxfId="1611" priority="15" stopIfTrue="1" operator="greaterThanOrEqual">
      <formula>$E$104</formula>
    </cfRule>
  </conditionalFormatting>
  <conditionalFormatting sqref="R103">
    <cfRule type="cellIs" dxfId="1610" priority="12" stopIfTrue="1" operator="greaterThan">
      <formula>$E$103</formula>
    </cfRule>
    <cfRule type="cellIs" dxfId="1609" priority="13" stopIfTrue="1" operator="lessThanOrEqual">
      <formula>$E$103</formula>
    </cfRule>
  </conditionalFormatting>
  <conditionalFormatting sqref="R117">
    <cfRule type="cellIs" dxfId="1608" priority="10" stopIfTrue="1" operator="greaterThan">
      <formula>$E$117</formula>
    </cfRule>
    <cfRule type="cellIs" dxfId="1607" priority="11" stopIfTrue="1" operator="lessThanOrEqual">
      <formula>$E$117</formula>
    </cfRule>
  </conditionalFormatting>
  <conditionalFormatting sqref="R107">
    <cfRule type="cellIs" dxfId="1606" priority="8" stopIfTrue="1" operator="greaterThan">
      <formula>$E$107</formula>
    </cfRule>
    <cfRule type="cellIs" dxfId="1605" priority="9" stopIfTrue="1" operator="lessThanOrEqual">
      <formula>$E$107</formula>
    </cfRule>
  </conditionalFormatting>
  <conditionalFormatting sqref="R108">
    <cfRule type="cellIs" dxfId="1604" priority="6" stopIfTrue="1" operator="lessThan">
      <formula>$E$108</formula>
    </cfRule>
    <cfRule type="cellIs" dxfId="1603" priority="7" stopIfTrue="1" operator="greaterThanOrEqual">
      <formula>$E$108</formula>
    </cfRule>
  </conditionalFormatting>
  <conditionalFormatting sqref="R93">
    <cfRule type="cellIs" dxfId="1602" priority="24" stopIfTrue="1" operator="lessThan">
      <formula>$D$93</formula>
    </cfRule>
    <cfRule type="cellIs" dxfId="1601" priority="25" stopIfTrue="1" operator="between">
      <formula>$D$93</formula>
      <formula>$E$93</formula>
    </cfRule>
    <cfRule type="cellIs" dxfId="1600" priority="26" stopIfTrue="1" operator="greaterThan">
      <formula>$E$93</formula>
    </cfRule>
  </conditionalFormatting>
  <conditionalFormatting sqref="R114">
    <cfRule type="cellIs" dxfId="1599" priority="27" stopIfTrue="1" operator="lessThan">
      <formula>$E$114</formula>
    </cfRule>
    <cfRule type="cellIs" dxfId="1598" priority="28" stopIfTrue="1" operator="between">
      <formula>$D$114</formula>
      <formula>$E$114</formula>
    </cfRule>
    <cfRule type="cellIs" dxfId="1597" priority="29" stopIfTrue="1" operator="greaterThanOrEqual">
      <formula>$D$114</formula>
    </cfRule>
  </conditionalFormatting>
  <conditionalFormatting sqref="R90">
    <cfRule type="cellIs" dxfId="1596" priority="4" stopIfTrue="1" operator="lessThan">
      <formula>$E$90</formula>
    </cfRule>
    <cfRule type="cellIs" dxfId="1595" priority="5" stopIfTrue="1" operator="greaterThan">
      <formula>$E$90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39.85546875" style="48" customWidth="1"/>
    <col min="8" max="8" width="8.7109375" style="4" customWidth="1"/>
    <col min="9" max="12" width="8.7109375" style="4" bestFit="1" customWidth="1"/>
    <col min="13" max="13" width="11.5703125" style="4" customWidth="1"/>
    <col min="14" max="14" width="8.7109375" style="4" bestFit="1" customWidth="1"/>
    <col min="15" max="15" width="10.28515625" style="4" customWidth="1"/>
    <col min="16" max="16" width="10.140625" style="4" customWidth="1"/>
    <col min="17" max="17" width="11.28515625" style="4" customWidth="1"/>
    <col min="18" max="18" width="10.85546875" style="4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39.85546875" style="4" customWidth="1"/>
    <col min="264" max="264" width="8.7109375" style="4" customWidth="1"/>
    <col min="265" max="268" width="8.7109375" style="4" bestFit="1" customWidth="1"/>
    <col min="269" max="269" width="11.5703125" style="4" customWidth="1"/>
    <col min="270" max="270" width="8.7109375" style="4" bestFit="1" customWidth="1"/>
    <col min="271" max="271" width="10.28515625" style="4" customWidth="1"/>
    <col min="272" max="272" width="10.140625" style="4" customWidth="1"/>
    <col min="273" max="273" width="11.28515625" style="4" customWidth="1"/>
    <col min="274" max="274" width="10.85546875" style="4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39.85546875" style="4" customWidth="1"/>
    <col min="520" max="520" width="8.7109375" style="4" customWidth="1"/>
    <col min="521" max="524" width="8.7109375" style="4" bestFit="1" customWidth="1"/>
    <col min="525" max="525" width="11.5703125" style="4" customWidth="1"/>
    <col min="526" max="526" width="8.7109375" style="4" bestFit="1" customWidth="1"/>
    <col min="527" max="527" width="10.28515625" style="4" customWidth="1"/>
    <col min="528" max="528" width="10.140625" style="4" customWidth="1"/>
    <col min="529" max="529" width="11.28515625" style="4" customWidth="1"/>
    <col min="530" max="530" width="10.85546875" style="4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39.85546875" style="4" customWidth="1"/>
    <col min="776" max="776" width="8.7109375" style="4" customWidth="1"/>
    <col min="777" max="780" width="8.7109375" style="4" bestFit="1" customWidth="1"/>
    <col min="781" max="781" width="11.5703125" style="4" customWidth="1"/>
    <col min="782" max="782" width="8.7109375" style="4" bestFit="1" customWidth="1"/>
    <col min="783" max="783" width="10.28515625" style="4" customWidth="1"/>
    <col min="784" max="784" width="10.140625" style="4" customWidth="1"/>
    <col min="785" max="785" width="11.28515625" style="4" customWidth="1"/>
    <col min="786" max="786" width="10.85546875" style="4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39.85546875" style="4" customWidth="1"/>
    <col min="1032" max="1032" width="8.7109375" style="4" customWidth="1"/>
    <col min="1033" max="1036" width="8.7109375" style="4" bestFit="1" customWidth="1"/>
    <col min="1037" max="1037" width="11.5703125" style="4" customWidth="1"/>
    <col min="1038" max="1038" width="8.7109375" style="4" bestFit="1" customWidth="1"/>
    <col min="1039" max="1039" width="10.28515625" style="4" customWidth="1"/>
    <col min="1040" max="1040" width="10.140625" style="4" customWidth="1"/>
    <col min="1041" max="1041" width="11.28515625" style="4" customWidth="1"/>
    <col min="1042" max="1042" width="10.85546875" style="4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39.85546875" style="4" customWidth="1"/>
    <col min="1288" max="1288" width="8.7109375" style="4" customWidth="1"/>
    <col min="1289" max="1292" width="8.7109375" style="4" bestFit="1" customWidth="1"/>
    <col min="1293" max="1293" width="11.5703125" style="4" customWidth="1"/>
    <col min="1294" max="1294" width="8.7109375" style="4" bestFit="1" customWidth="1"/>
    <col min="1295" max="1295" width="10.28515625" style="4" customWidth="1"/>
    <col min="1296" max="1296" width="10.140625" style="4" customWidth="1"/>
    <col min="1297" max="1297" width="11.28515625" style="4" customWidth="1"/>
    <col min="1298" max="1298" width="10.85546875" style="4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39.85546875" style="4" customWidth="1"/>
    <col min="1544" max="1544" width="8.7109375" style="4" customWidth="1"/>
    <col min="1545" max="1548" width="8.7109375" style="4" bestFit="1" customWidth="1"/>
    <col min="1549" max="1549" width="11.5703125" style="4" customWidth="1"/>
    <col min="1550" max="1550" width="8.7109375" style="4" bestFit="1" customWidth="1"/>
    <col min="1551" max="1551" width="10.28515625" style="4" customWidth="1"/>
    <col min="1552" max="1552" width="10.140625" style="4" customWidth="1"/>
    <col min="1553" max="1553" width="11.28515625" style="4" customWidth="1"/>
    <col min="1554" max="1554" width="10.85546875" style="4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39.85546875" style="4" customWidth="1"/>
    <col min="1800" max="1800" width="8.7109375" style="4" customWidth="1"/>
    <col min="1801" max="1804" width="8.7109375" style="4" bestFit="1" customWidth="1"/>
    <col min="1805" max="1805" width="11.5703125" style="4" customWidth="1"/>
    <col min="1806" max="1806" width="8.7109375" style="4" bestFit="1" customWidth="1"/>
    <col min="1807" max="1807" width="10.28515625" style="4" customWidth="1"/>
    <col min="1808" max="1808" width="10.140625" style="4" customWidth="1"/>
    <col min="1809" max="1809" width="11.28515625" style="4" customWidth="1"/>
    <col min="1810" max="1810" width="10.85546875" style="4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39.85546875" style="4" customWidth="1"/>
    <col min="2056" max="2056" width="8.7109375" style="4" customWidth="1"/>
    <col min="2057" max="2060" width="8.7109375" style="4" bestFit="1" customWidth="1"/>
    <col min="2061" max="2061" width="11.5703125" style="4" customWidth="1"/>
    <col min="2062" max="2062" width="8.7109375" style="4" bestFit="1" customWidth="1"/>
    <col min="2063" max="2063" width="10.28515625" style="4" customWidth="1"/>
    <col min="2064" max="2064" width="10.140625" style="4" customWidth="1"/>
    <col min="2065" max="2065" width="11.28515625" style="4" customWidth="1"/>
    <col min="2066" max="2066" width="10.85546875" style="4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39.85546875" style="4" customWidth="1"/>
    <col min="2312" max="2312" width="8.7109375" style="4" customWidth="1"/>
    <col min="2313" max="2316" width="8.7109375" style="4" bestFit="1" customWidth="1"/>
    <col min="2317" max="2317" width="11.5703125" style="4" customWidth="1"/>
    <col min="2318" max="2318" width="8.7109375" style="4" bestFit="1" customWidth="1"/>
    <col min="2319" max="2319" width="10.28515625" style="4" customWidth="1"/>
    <col min="2320" max="2320" width="10.140625" style="4" customWidth="1"/>
    <col min="2321" max="2321" width="11.28515625" style="4" customWidth="1"/>
    <col min="2322" max="2322" width="10.85546875" style="4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39.85546875" style="4" customWidth="1"/>
    <col min="2568" max="2568" width="8.7109375" style="4" customWidth="1"/>
    <col min="2569" max="2572" width="8.7109375" style="4" bestFit="1" customWidth="1"/>
    <col min="2573" max="2573" width="11.5703125" style="4" customWidth="1"/>
    <col min="2574" max="2574" width="8.7109375" style="4" bestFit="1" customWidth="1"/>
    <col min="2575" max="2575" width="10.28515625" style="4" customWidth="1"/>
    <col min="2576" max="2576" width="10.140625" style="4" customWidth="1"/>
    <col min="2577" max="2577" width="11.28515625" style="4" customWidth="1"/>
    <col min="2578" max="2578" width="10.85546875" style="4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39.85546875" style="4" customWidth="1"/>
    <col min="2824" max="2824" width="8.7109375" style="4" customWidth="1"/>
    <col min="2825" max="2828" width="8.7109375" style="4" bestFit="1" customWidth="1"/>
    <col min="2829" max="2829" width="11.5703125" style="4" customWidth="1"/>
    <col min="2830" max="2830" width="8.7109375" style="4" bestFit="1" customWidth="1"/>
    <col min="2831" max="2831" width="10.28515625" style="4" customWidth="1"/>
    <col min="2832" max="2832" width="10.140625" style="4" customWidth="1"/>
    <col min="2833" max="2833" width="11.28515625" style="4" customWidth="1"/>
    <col min="2834" max="2834" width="10.85546875" style="4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39.85546875" style="4" customWidth="1"/>
    <col min="3080" max="3080" width="8.7109375" style="4" customWidth="1"/>
    <col min="3081" max="3084" width="8.7109375" style="4" bestFit="1" customWidth="1"/>
    <col min="3085" max="3085" width="11.5703125" style="4" customWidth="1"/>
    <col min="3086" max="3086" width="8.7109375" style="4" bestFit="1" customWidth="1"/>
    <col min="3087" max="3087" width="10.28515625" style="4" customWidth="1"/>
    <col min="3088" max="3088" width="10.140625" style="4" customWidth="1"/>
    <col min="3089" max="3089" width="11.28515625" style="4" customWidth="1"/>
    <col min="3090" max="3090" width="10.85546875" style="4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39.85546875" style="4" customWidth="1"/>
    <col min="3336" max="3336" width="8.7109375" style="4" customWidth="1"/>
    <col min="3337" max="3340" width="8.7109375" style="4" bestFit="1" customWidth="1"/>
    <col min="3341" max="3341" width="11.5703125" style="4" customWidth="1"/>
    <col min="3342" max="3342" width="8.7109375" style="4" bestFit="1" customWidth="1"/>
    <col min="3343" max="3343" width="10.28515625" style="4" customWidth="1"/>
    <col min="3344" max="3344" width="10.140625" style="4" customWidth="1"/>
    <col min="3345" max="3345" width="11.28515625" style="4" customWidth="1"/>
    <col min="3346" max="3346" width="10.85546875" style="4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39.85546875" style="4" customWidth="1"/>
    <col min="3592" max="3592" width="8.7109375" style="4" customWidth="1"/>
    <col min="3593" max="3596" width="8.7109375" style="4" bestFit="1" customWidth="1"/>
    <col min="3597" max="3597" width="11.5703125" style="4" customWidth="1"/>
    <col min="3598" max="3598" width="8.7109375" style="4" bestFit="1" customWidth="1"/>
    <col min="3599" max="3599" width="10.28515625" style="4" customWidth="1"/>
    <col min="3600" max="3600" width="10.140625" style="4" customWidth="1"/>
    <col min="3601" max="3601" width="11.28515625" style="4" customWidth="1"/>
    <col min="3602" max="3602" width="10.85546875" style="4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39.85546875" style="4" customWidth="1"/>
    <col min="3848" max="3848" width="8.7109375" style="4" customWidth="1"/>
    <col min="3849" max="3852" width="8.7109375" style="4" bestFit="1" customWidth="1"/>
    <col min="3853" max="3853" width="11.5703125" style="4" customWidth="1"/>
    <col min="3854" max="3854" width="8.7109375" style="4" bestFit="1" customWidth="1"/>
    <col min="3855" max="3855" width="10.28515625" style="4" customWidth="1"/>
    <col min="3856" max="3856" width="10.140625" style="4" customWidth="1"/>
    <col min="3857" max="3857" width="11.28515625" style="4" customWidth="1"/>
    <col min="3858" max="3858" width="10.85546875" style="4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39.85546875" style="4" customWidth="1"/>
    <col min="4104" max="4104" width="8.7109375" style="4" customWidth="1"/>
    <col min="4105" max="4108" width="8.7109375" style="4" bestFit="1" customWidth="1"/>
    <col min="4109" max="4109" width="11.5703125" style="4" customWidth="1"/>
    <col min="4110" max="4110" width="8.7109375" style="4" bestFit="1" customWidth="1"/>
    <col min="4111" max="4111" width="10.28515625" style="4" customWidth="1"/>
    <col min="4112" max="4112" width="10.140625" style="4" customWidth="1"/>
    <col min="4113" max="4113" width="11.28515625" style="4" customWidth="1"/>
    <col min="4114" max="4114" width="10.85546875" style="4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39.85546875" style="4" customWidth="1"/>
    <col min="4360" max="4360" width="8.7109375" style="4" customWidth="1"/>
    <col min="4361" max="4364" width="8.7109375" style="4" bestFit="1" customWidth="1"/>
    <col min="4365" max="4365" width="11.5703125" style="4" customWidth="1"/>
    <col min="4366" max="4366" width="8.7109375" style="4" bestFit="1" customWidth="1"/>
    <col min="4367" max="4367" width="10.28515625" style="4" customWidth="1"/>
    <col min="4368" max="4368" width="10.140625" style="4" customWidth="1"/>
    <col min="4369" max="4369" width="11.28515625" style="4" customWidth="1"/>
    <col min="4370" max="4370" width="10.85546875" style="4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39.85546875" style="4" customWidth="1"/>
    <col min="4616" max="4616" width="8.7109375" style="4" customWidth="1"/>
    <col min="4617" max="4620" width="8.7109375" style="4" bestFit="1" customWidth="1"/>
    <col min="4621" max="4621" width="11.5703125" style="4" customWidth="1"/>
    <col min="4622" max="4622" width="8.7109375" style="4" bestFit="1" customWidth="1"/>
    <col min="4623" max="4623" width="10.28515625" style="4" customWidth="1"/>
    <col min="4624" max="4624" width="10.140625" style="4" customWidth="1"/>
    <col min="4625" max="4625" width="11.28515625" style="4" customWidth="1"/>
    <col min="4626" max="4626" width="10.85546875" style="4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39.85546875" style="4" customWidth="1"/>
    <col min="4872" max="4872" width="8.7109375" style="4" customWidth="1"/>
    <col min="4873" max="4876" width="8.7109375" style="4" bestFit="1" customWidth="1"/>
    <col min="4877" max="4877" width="11.5703125" style="4" customWidth="1"/>
    <col min="4878" max="4878" width="8.7109375" style="4" bestFit="1" customWidth="1"/>
    <col min="4879" max="4879" width="10.28515625" style="4" customWidth="1"/>
    <col min="4880" max="4880" width="10.140625" style="4" customWidth="1"/>
    <col min="4881" max="4881" width="11.28515625" style="4" customWidth="1"/>
    <col min="4882" max="4882" width="10.85546875" style="4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39.85546875" style="4" customWidth="1"/>
    <col min="5128" max="5128" width="8.7109375" style="4" customWidth="1"/>
    <col min="5129" max="5132" width="8.7109375" style="4" bestFit="1" customWidth="1"/>
    <col min="5133" max="5133" width="11.5703125" style="4" customWidth="1"/>
    <col min="5134" max="5134" width="8.7109375" style="4" bestFit="1" customWidth="1"/>
    <col min="5135" max="5135" width="10.28515625" style="4" customWidth="1"/>
    <col min="5136" max="5136" width="10.140625" style="4" customWidth="1"/>
    <col min="5137" max="5137" width="11.28515625" style="4" customWidth="1"/>
    <col min="5138" max="5138" width="10.85546875" style="4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39.85546875" style="4" customWidth="1"/>
    <col min="5384" max="5384" width="8.7109375" style="4" customWidth="1"/>
    <col min="5385" max="5388" width="8.7109375" style="4" bestFit="1" customWidth="1"/>
    <col min="5389" max="5389" width="11.5703125" style="4" customWidth="1"/>
    <col min="5390" max="5390" width="8.7109375" style="4" bestFit="1" customWidth="1"/>
    <col min="5391" max="5391" width="10.28515625" style="4" customWidth="1"/>
    <col min="5392" max="5392" width="10.140625" style="4" customWidth="1"/>
    <col min="5393" max="5393" width="11.28515625" style="4" customWidth="1"/>
    <col min="5394" max="5394" width="10.85546875" style="4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39.85546875" style="4" customWidth="1"/>
    <col min="5640" max="5640" width="8.7109375" style="4" customWidth="1"/>
    <col min="5641" max="5644" width="8.7109375" style="4" bestFit="1" customWidth="1"/>
    <col min="5645" max="5645" width="11.5703125" style="4" customWidth="1"/>
    <col min="5646" max="5646" width="8.7109375" style="4" bestFit="1" customWidth="1"/>
    <col min="5647" max="5647" width="10.28515625" style="4" customWidth="1"/>
    <col min="5648" max="5648" width="10.140625" style="4" customWidth="1"/>
    <col min="5649" max="5649" width="11.28515625" style="4" customWidth="1"/>
    <col min="5650" max="5650" width="10.85546875" style="4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39.85546875" style="4" customWidth="1"/>
    <col min="5896" max="5896" width="8.7109375" style="4" customWidth="1"/>
    <col min="5897" max="5900" width="8.7109375" style="4" bestFit="1" customWidth="1"/>
    <col min="5901" max="5901" width="11.5703125" style="4" customWidth="1"/>
    <col min="5902" max="5902" width="8.7109375" style="4" bestFit="1" customWidth="1"/>
    <col min="5903" max="5903" width="10.28515625" style="4" customWidth="1"/>
    <col min="5904" max="5904" width="10.140625" style="4" customWidth="1"/>
    <col min="5905" max="5905" width="11.28515625" style="4" customWidth="1"/>
    <col min="5906" max="5906" width="10.85546875" style="4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39.85546875" style="4" customWidth="1"/>
    <col min="6152" max="6152" width="8.7109375" style="4" customWidth="1"/>
    <col min="6153" max="6156" width="8.7109375" style="4" bestFit="1" customWidth="1"/>
    <col min="6157" max="6157" width="11.5703125" style="4" customWidth="1"/>
    <col min="6158" max="6158" width="8.7109375" style="4" bestFit="1" customWidth="1"/>
    <col min="6159" max="6159" width="10.28515625" style="4" customWidth="1"/>
    <col min="6160" max="6160" width="10.140625" style="4" customWidth="1"/>
    <col min="6161" max="6161" width="11.28515625" style="4" customWidth="1"/>
    <col min="6162" max="6162" width="10.85546875" style="4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39.85546875" style="4" customWidth="1"/>
    <col min="6408" max="6408" width="8.7109375" style="4" customWidth="1"/>
    <col min="6409" max="6412" width="8.7109375" style="4" bestFit="1" customWidth="1"/>
    <col min="6413" max="6413" width="11.5703125" style="4" customWidth="1"/>
    <col min="6414" max="6414" width="8.7109375" style="4" bestFit="1" customWidth="1"/>
    <col min="6415" max="6415" width="10.28515625" style="4" customWidth="1"/>
    <col min="6416" max="6416" width="10.140625" style="4" customWidth="1"/>
    <col min="6417" max="6417" width="11.28515625" style="4" customWidth="1"/>
    <col min="6418" max="6418" width="10.85546875" style="4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39.85546875" style="4" customWidth="1"/>
    <col min="6664" max="6664" width="8.7109375" style="4" customWidth="1"/>
    <col min="6665" max="6668" width="8.7109375" style="4" bestFit="1" customWidth="1"/>
    <col min="6669" max="6669" width="11.5703125" style="4" customWidth="1"/>
    <col min="6670" max="6670" width="8.7109375" style="4" bestFit="1" customWidth="1"/>
    <col min="6671" max="6671" width="10.28515625" style="4" customWidth="1"/>
    <col min="6672" max="6672" width="10.140625" style="4" customWidth="1"/>
    <col min="6673" max="6673" width="11.28515625" style="4" customWidth="1"/>
    <col min="6674" max="6674" width="10.85546875" style="4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39.85546875" style="4" customWidth="1"/>
    <col min="6920" max="6920" width="8.7109375" style="4" customWidth="1"/>
    <col min="6921" max="6924" width="8.7109375" style="4" bestFit="1" customWidth="1"/>
    <col min="6925" max="6925" width="11.5703125" style="4" customWidth="1"/>
    <col min="6926" max="6926" width="8.7109375" style="4" bestFit="1" customWidth="1"/>
    <col min="6927" max="6927" width="10.28515625" style="4" customWidth="1"/>
    <col min="6928" max="6928" width="10.140625" style="4" customWidth="1"/>
    <col min="6929" max="6929" width="11.28515625" style="4" customWidth="1"/>
    <col min="6930" max="6930" width="10.85546875" style="4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39.85546875" style="4" customWidth="1"/>
    <col min="7176" max="7176" width="8.7109375" style="4" customWidth="1"/>
    <col min="7177" max="7180" width="8.7109375" style="4" bestFit="1" customWidth="1"/>
    <col min="7181" max="7181" width="11.5703125" style="4" customWidth="1"/>
    <col min="7182" max="7182" width="8.7109375" style="4" bestFit="1" customWidth="1"/>
    <col min="7183" max="7183" width="10.28515625" style="4" customWidth="1"/>
    <col min="7184" max="7184" width="10.140625" style="4" customWidth="1"/>
    <col min="7185" max="7185" width="11.28515625" style="4" customWidth="1"/>
    <col min="7186" max="7186" width="10.85546875" style="4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39.85546875" style="4" customWidth="1"/>
    <col min="7432" max="7432" width="8.7109375" style="4" customWidth="1"/>
    <col min="7433" max="7436" width="8.7109375" style="4" bestFit="1" customWidth="1"/>
    <col min="7437" max="7437" width="11.5703125" style="4" customWidth="1"/>
    <col min="7438" max="7438" width="8.7109375" style="4" bestFit="1" customWidth="1"/>
    <col min="7439" max="7439" width="10.28515625" style="4" customWidth="1"/>
    <col min="7440" max="7440" width="10.140625" style="4" customWidth="1"/>
    <col min="7441" max="7441" width="11.28515625" style="4" customWidth="1"/>
    <col min="7442" max="7442" width="10.85546875" style="4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39.85546875" style="4" customWidth="1"/>
    <col min="7688" max="7688" width="8.7109375" style="4" customWidth="1"/>
    <col min="7689" max="7692" width="8.7109375" style="4" bestFit="1" customWidth="1"/>
    <col min="7693" max="7693" width="11.5703125" style="4" customWidth="1"/>
    <col min="7694" max="7694" width="8.7109375" style="4" bestFit="1" customWidth="1"/>
    <col min="7695" max="7695" width="10.28515625" style="4" customWidth="1"/>
    <col min="7696" max="7696" width="10.140625" style="4" customWidth="1"/>
    <col min="7697" max="7697" width="11.28515625" style="4" customWidth="1"/>
    <col min="7698" max="7698" width="10.85546875" style="4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39.85546875" style="4" customWidth="1"/>
    <col min="7944" max="7944" width="8.7109375" style="4" customWidth="1"/>
    <col min="7945" max="7948" width="8.7109375" style="4" bestFit="1" customWidth="1"/>
    <col min="7949" max="7949" width="11.5703125" style="4" customWidth="1"/>
    <col min="7950" max="7950" width="8.7109375" style="4" bestFit="1" customWidth="1"/>
    <col min="7951" max="7951" width="10.28515625" style="4" customWidth="1"/>
    <col min="7952" max="7952" width="10.140625" style="4" customWidth="1"/>
    <col min="7953" max="7953" width="11.28515625" style="4" customWidth="1"/>
    <col min="7954" max="7954" width="10.85546875" style="4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39.85546875" style="4" customWidth="1"/>
    <col min="8200" max="8200" width="8.7109375" style="4" customWidth="1"/>
    <col min="8201" max="8204" width="8.7109375" style="4" bestFit="1" customWidth="1"/>
    <col min="8205" max="8205" width="11.5703125" style="4" customWidth="1"/>
    <col min="8206" max="8206" width="8.7109375" style="4" bestFit="1" customWidth="1"/>
    <col min="8207" max="8207" width="10.28515625" style="4" customWidth="1"/>
    <col min="8208" max="8208" width="10.140625" style="4" customWidth="1"/>
    <col min="8209" max="8209" width="11.28515625" style="4" customWidth="1"/>
    <col min="8210" max="8210" width="10.85546875" style="4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39.85546875" style="4" customWidth="1"/>
    <col min="8456" max="8456" width="8.7109375" style="4" customWidth="1"/>
    <col min="8457" max="8460" width="8.7109375" style="4" bestFit="1" customWidth="1"/>
    <col min="8461" max="8461" width="11.5703125" style="4" customWidth="1"/>
    <col min="8462" max="8462" width="8.7109375" style="4" bestFit="1" customWidth="1"/>
    <col min="8463" max="8463" width="10.28515625" style="4" customWidth="1"/>
    <col min="8464" max="8464" width="10.140625" style="4" customWidth="1"/>
    <col min="8465" max="8465" width="11.28515625" style="4" customWidth="1"/>
    <col min="8466" max="8466" width="10.85546875" style="4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39.85546875" style="4" customWidth="1"/>
    <col min="8712" max="8712" width="8.7109375" style="4" customWidth="1"/>
    <col min="8713" max="8716" width="8.7109375" style="4" bestFit="1" customWidth="1"/>
    <col min="8717" max="8717" width="11.5703125" style="4" customWidth="1"/>
    <col min="8718" max="8718" width="8.7109375" style="4" bestFit="1" customWidth="1"/>
    <col min="8719" max="8719" width="10.28515625" style="4" customWidth="1"/>
    <col min="8720" max="8720" width="10.140625" style="4" customWidth="1"/>
    <col min="8721" max="8721" width="11.28515625" style="4" customWidth="1"/>
    <col min="8722" max="8722" width="10.85546875" style="4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39.85546875" style="4" customWidth="1"/>
    <col min="8968" max="8968" width="8.7109375" style="4" customWidth="1"/>
    <col min="8969" max="8972" width="8.7109375" style="4" bestFit="1" customWidth="1"/>
    <col min="8973" max="8973" width="11.5703125" style="4" customWidth="1"/>
    <col min="8974" max="8974" width="8.7109375" style="4" bestFit="1" customWidth="1"/>
    <col min="8975" max="8975" width="10.28515625" style="4" customWidth="1"/>
    <col min="8976" max="8976" width="10.140625" style="4" customWidth="1"/>
    <col min="8977" max="8977" width="11.28515625" style="4" customWidth="1"/>
    <col min="8978" max="8978" width="10.85546875" style="4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39.85546875" style="4" customWidth="1"/>
    <col min="9224" max="9224" width="8.7109375" style="4" customWidth="1"/>
    <col min="9225" max="9228" width="8.7109375" style="4" bestFit="1" customWidth="1"/>
    <col min="9229" max="9229" width="11.5703125" style="4" customWidth="1"/>
    <col min="9230" max="9230" width="8.7109375" style="4" bestFit="1" customWidth="1"/>
    <col min="9231" max="9231" width="10.28515625" style="4" customWidth="1"/>
    <col min="9232" max="9232" width="10.140625" style="4" customWidth="1"/>
    <col min="9233" max="9233" width="11.28515625" style="4" customWidth="1"/>
    <col min="9234" max="9234" width="10.85546875" style="4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39.85546875" style="4" customWidth="1"/>
    <col min="9480" max="9480" width="8.7109375" style="4" customWidth="1"/>
    <col min="9481" max="9484" width="8.7109375" style="4" bestFit="1" customWidth="1"/>
    <col min="9485" max="9485" width="11.5703125" style="4" customWidth="1"/>
    <col min="9486" max="9486" width="8.7109375" style="4" bestFit="1" customWidth="1"/>
    <col min="9487" max="9487" width="10.28515625" style="4" customWidth="1"/>
    <col min="9488" max="9488" width="10.140625" style="4" customWidth="1"/>
    <col min="9489" max="9489" width="11.28515625" style="4" customWidth="1"/>
    <col min="9490" max="9490" width="10.85546875" style="4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39.85546875" style="4" customWidth="1"/>
    <col min="9736" max="9736" width="8.7109375" style="4" customWidth="1"/>
    <col min="9737" max="9740" width="8.7109375" style="4" bestFit="1" customWidth="1"/>
    <col min="9741" max="9741" width="11.5703125" style="4" customWidth="1"/>
    <col min="9742" max="9742" width="8.7109375" style="4" bestFit="1" customWidth="1"/>
    <col min="9743" max="9743" width="10.28515625" style="4" customWidth="1"/>
    <col min="9744" max="9744" width="10.140625" style="4" customWidth="1"/>
    <col min="9745" max="9745" width="11.28515625" style="4" customWidth="1"/>
    <col min="9746" max="9746" width="10.85546875" style="4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39.85546875" style="4" customWidth="1"/>
    <col min="9992" max="9992" width="8.7109375" style="4" customWidth="1"/>
    <col min="9993" max="9996" width="8.7109375" style="4" bestFit="1" customWidth="1"/>
    <col min="9997" max="9997" width="11.5703125" style="4" customWidth="1"/>
    <col min="9998" max="9998" width="8.7109375" style="4" bestFit="1" customWidth="1"/>
    <col min="9999" max="9999" width="10.28515625" style="4" customWidth="1"/>
    <col min="10000" max="10000" width="10.140625" style="4" customWidth="1"/>
    <col min="10001" max="10001" width="11.28515625" style="4" customWidth="1"/>
    <col min="10002" max="10002" width="10.85546875" style="4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39.85546875" style="4" customWidth="1"/>
    <col min="10248" max="10248" width="8.7109375" style="4" customWidth="1"/>
    <col min="10249" max="10252" width="8.7109375" style="4" bestFit="1" customWidth="1"/>
    <col min="10253" max="10253" width="11.5703125" style="4" customWidth="1"/>
    <col min="10254" max="10254" width="8.7109375" style="4" bestFit="1" customWidth="1"/>
    <col min="10255" max="10255" width="10.28515625" style="4" customWidth="1"/>
    <col min="10256" max="10256" width="10.140625" style="4" customWidth="1"/>
    <col min="10257" max="10257" width="11.28515625" style="4" customWidth="1"/>
    <col min="10258" max="10258" width="10.85546875" style="4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39.85546875" style="4" customWidth="1"/>
    <col min="10504" max="10504" width="8.7109375" style="4" customWidth="1"/>
    <col min="10505" max="10508" width="8.7109375" style="4" bestFit="1" customWidth="1"/>
    <col min="10509" max="10509" width="11.5703125" style="4" customWidth="1"/>
    <col min="10510" max="10510" width="8.7109375" style="4" bestFit="1" customWidth="1"/>
    <col min="10511" max="10511" width="10.28515625" style="4" customWidth="1"/>
    <col min="10512" max="10512" width="10.140625" style="4" customWidth="1"/>
    <col min="10513" max="10513" width="11.28515625" style="4" customWidth="1"/>
    <col min="10514" max="10514" width="10.85546875" style="4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39.85546875" style="4" customWidth="1"/>
    <col min="10760" max="10760" width="8.7109375" style="4" customWidth="1"/>
    <col min="10761" max="10764" width="8.7109375" style="4" bestFit="1" customWidth="1"/>
    <col min="10765" max="10765" width="11.5703125" style="4" customWidth="1"/>
    <col min="10766" max="10766" width="8.7109375" style="4" bestFit="1" customWidth="1"/>
    <col min="10767" max="10767" width="10.28515625" style="4" customWidth="1"/>
    <col min="10768" max="10768" width="10.140625" style="4" customWidth="1"/>
    <col min="10769" max="10769" width="11.28515625" style="4" customWidth="1"/>
    <col min="10770" max="10770" width="10.85546875" style="4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39.85546875" style="4" customWidth="1"/>
    <col min="11016" max="11016" width="8.7109375" style="4" customWidth="1"/>
    <col min="11017" max="11020" width="8.7109375" style="4" bestFit="1" customWidth="1"/>
    <col min="11021" max="11021" width="11.5703125" style="4" customWidth="1"/>
    <col min="11022" max="11022" width="8.7109375" style="4" bestFit="1" customWidth="1"/>
    <col min="11023" max="11023" width="10.28515625" style="4" customWidth="1"/>
    <col min="11024" max="11024" width="10.140625" style="4" customWidth="1"/>
    <col min="11025" max="11025" width="11.28515625" style="4" customWidth="1"/>
    <col min="11026" max="11026" width="10.85546875" style="4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39.85546875" style="4" customWidth="1"/>
    <col min="11272" max="11272" width="8.7109375" style="4" customWidth="1"/>
    <col min="11273" max="11276" width="8.7109375" style="4" bestFit="1" customWidth="1"/>
    <col min="11277" max="11277" width="11.5703125" style="4" customWidth="1"/>
    <col min="11278" max="11278" width="8.7109375" style="4" bestFit="1" customWidth="1"/>
    <col min="11279" max="11279" width="10.28515625" style="4" customWidth="1"/>
    <col min="11280" max="11280" width="10.140625" style="4" customWidth="1"/>
    <col min="11281" max="11281" width="11.28515625" style="4" customWidth="1"/>
    <col min="11282" max="11282" width="10.85546875" style="4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39.85546875" style="4" customWidth="1"/>
    <col min="11528" max="11528" width="8.7109375" style="4" customWidth="1"/>
    <col min="11529" max="11532" width="8.7109375" style="4" bestFit="1" customWidth="1"/>
    <col min="11533" max="11533" width="11.5703125" style="4" customWidth="1"/>
    <col min="11534" max="11534" width="8.7109375" style="4" bestFit="1" customWidth="1"/>
    <col min="11535" max="11535" width="10.28515625" style="4" customWidth="1"/>
    <col min="11536" max="11536" width="10.140625" style="4" customWidth="1"/>
    <col min="11537" max="11537" width="11.28515625" style="4" customWidth="1"/>
    <col min="11538" max="11538" width="10.85546875" style="4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39.85546875" style="4" customWidth="1"/>
    <col min="11784" max="11784" width="8.7109375" style="4" customWidth="1"/>
    <col min="11785" max="11788" width="8.7109375" style="4" bestFit="1" customWidth="1"/>
    <col min="11789" max="11789" width="11.5703125" style="4" customWidth="1"/>
    <col min="11790" max="11790" width="8.7109375" style="4" bestFit="1" customWidth="1"/>
    <col min="11791" max="11791" width="10.28515625" style="4" customWidth="1"/>
    <col min="11792" max="11792" width="10.140625" style="4" customWidth="1"/>
    <col min="11793" max="11793" width="11.28515625" style="4" customWidth="1"/>
    <col min="11794" max="11794" width="10.85546875" style="4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39.85546875" style="4" customWidth="1"/>
    <col min="12040" max="12040" width="8.7109375" style="4" customWidth="1"/>
    <col min="12041" max="12044" width="8.7109375" style="4" bestFit="1" customWidth="1"/>
    <col min="12045" max="12045" width="11.5703125" style="4" customWidth="1"/>
    <col min="12046" max="12046" width="8.7109375" style="4" bestFit="1" customWidth="1"/>
    <col min="12047" max="12047" width="10.28515625" style="4" customWidth="1"/>
    <col min="12048" max="12048" width="10.140625" style="4" customWidth="1"/>
    <col min="12049" max="12049" width="11.28515625" style="4" customWidth="1"/>
    <col min="12050" max="12050" width="10.85546875" style="4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39.85546875" style="4" customWidth="1"/>
    <col min="12296" max="12296" width="8.7109375" style="4" customWidth="1"/>
    <col min="12297" max="12300" width="8.7109375" style="4" bestFit="1" customWidth="1"/>
    <col min="12301" max="12301" width="11.5703125" style="4" customWidth="1"/>
    <col min="12302" max="12302" width="8.7109375" style="4" bestFit="1" customWidth="1"/>
    <col min="12303" max="12303" width="10.28515625" style="4" customWidth="1"/>
    <col min="12304" max="12304" width="10.140625" style="4" customWidth="1"/>
    <col min="12305" max="12305" width="11.28515625" style="4" customWidth="1"/>
    <col min="12306" max="12306" width="10.85546875" style="4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39.85546875" style="4" customWidth="1"/>
    <col min="12552" max="12552" width="8.7109375" style="4" customWidth="1"/>
    <col min="12553" max="12556" width="8.7109375" style="4" bestFit="1" customWidth="1"/>
    <col min="12557" max="12557" width="11.5703125" style="4" customWidth="1"/>
    <col min="12558" max="12558" width="8.7109375" style="4" bestFit="1" customWidth="1"/>
    <col min="12559" max="12559" width="10.28515625" style="4" customWidth="1"/>
    <col min="12560" max="12560" width="10.140625" style="4" customWidth="1"/>
    <col min="12561" max="12561" width="11.28515625" style="4" customWidth="1"/>
    <col min="12562" max="12562" width="10.85546875" style="4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39.85546875" style="4" customWidth="1"/>
    <col min="12808" max="12808" width="8.7109375" style="4" customWidth="1"/>
    <col min="12809" max="12812" width="8.7109375" style="4" bestFit="1" customWidth="1"/>
    <col min="12813" max="12813" width="11.5703125" style="4" customWidth="1"/>
    <col min="12814" max="12814" width="8.7109375" style="4" bestFit="1" customWidth="1"/>
    <col min="12815" max="12815" width="10.28515625" style="4" customWidth="1"/>
    <col min="12816" max="12816" width="10.140625" style="4" customWidth="1"/>
    <col min="12817" max="12817" width="11.28515625" style="4" customWidth="1"/>
    <col min="12818" max="12818" width="10.85546875" style="4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39.85546875" style="4" customWidth="1"/>
    <col min="13064" max="13064" width="8.7109375" style="4" customWidth="1"/>
    <col min="13065" max="13068" width="8.7109375" style="4" bestFit="1" customWidth="1"/>
    <col min="13069" max="13069" width="11.5703125" style="4" customWidth="1"/>
    <col min="13070" max="13070" width="8.7109375" style="4" bestFit="1" customWidth="1"/>
    <col min="13071" max="13071" width="10.28515625" style="4" customWidth="1"/>
    <col min="13072" max="13072" width="10.140625" style="4" customWidth="1"/>
    <col min="13073" max="13073" width="11.28515625" style="4" customWidth="1"/>
    <col min="13074" max="13074" width="10.85546875" style="4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39.85546875" style="4" customWidth="1"/>
    <col min="13320" max="13320" width="8.7109375" style="4" customWidth="1"/>
    <col min="13321" max="13324" width="8.7109375" style="4" bestFit="1" customWidth="1"/>
    <col min="13325" max="13325" width="11.5703125" style="4" customWidth="1"/>
    <col min="13326" max="13326" width="8.7109375" style="4" bestFit="1" customWidth="1"/>
    <col min="13327" max="13327" width="10.28515625" style="4" customWidth="1"/>
    <col min="13328" max="13328" width="10.140625" style="4" customWidth="1"/>
    <col min="13329" max="13329" width="11.28515625" style="4" customWidth="1"/>
    <col min="13330" max="13330" width="10.85546875" style="4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39.85546875" style="4" customWidth="1"/>
    <col min="13576" max="13576" width="8.7109375" style="4" customWidth="1"/>
    <col min="13577" max="13580" width="8.7109375" style="4" bestFit="1" customWidth="1"/>
    <col min="13581" max="13581" width="11.5703125" style="4" customWidth="1"/>
    <col min="13582" max="13582" width="8.7109375" style="4" bestFit="1" customWidth="1"/>
    <col min="13583" max="13583" width="10.28515625" style="4" customWidth="1"/>
    <col min="13584" max="13584" width="10.140625" style="4" customWidth="1"/>
    <col min="13585" max="13585" width="11.28515625" style="4" customWidth="1"/>
    <col min="13586" max="13586" width="10.85546875" style="4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39.85546875" style="4" customWidth="1"/>
    <col min="13832" max="13832" width="8.7109375" style="4" customWidth="1"/>
    <col min="13833" max="13836" width="8.7109375" style="4" bestFit="1" customWidth="1"/>
    <col min="13837" max="13837" width="11.5703125" style="4" customWidth="1"/>
    <col min="13838" max="13838" width="8.7109375" style="4" bestFit="1" customWidth="1"/>
    <col min="13839" max="13839" width="10.28515625" style="4" customWidth="1"/>
    <col min="13840" max="13840" width="10.140625" style="4" customWidth="1"/>
    <col min="13841" max="13841" width="11.28515625" style="4" customWidth="1"/>
    <col min="13842" max="13842" width="10.85546875" style="4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39.85546875" style="4" customWidth="1"/>
    <col min="14088" max="14088" width="8.7109375" style="4" customWidth="1"/>
    <col min="14089" max="14092" width="8.7109375" style="4" bestFit="1" customWidth="1"/>
    <col min="14093" max="14093" width="11.5703125" style="4" customWidth="1"/>
    <col min="14094" max="14094" width="8.7109375" style="4" bestFit="1" customWidth="1"/>
    <col min="14095" max="14095" width="10.28515625" style="4" customWidth="1"/>
    <col min="14096" max="14096" width="10.140625" style="4" customWidth="1"/>
    <col min="14097" max="14097" width="11.28515625" style="4" customWidth="1"/>
    <col min="14098" max="14098" width="10.85546875" style="4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39.85546875" style="4" customWidth="1"/>
    <col min="14344" max="14344" width="8.7109375" style="4" customWidth="1"/>
    <col min="14345" max="14348" width="8.7109375" style="4" bestFit="1" customWidth="1"/>
    <col min="14349" max="14349" width="11.5703125" style="4" customWidth="1"/>
    <col min="14350" max="14350" width="8.7109375" style="4" bestFit="1" customWidth="1"/>
    <col min="14351" max="14351" width="10.28515625" style="4" customWidth="1"/>
    <col min="14352" max="14352" width="10.140625" style="4" customWidth="1"/>
    <col min="14353" max="14353" width="11.28515625" style="4" customWidth="1"/>
    <col min="14354" max="14354" width="10.85546875" style="4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39.85546875" style="4" customWidth="1"/>
    <col min="14600" max="14600" width="8.7109375" style="4" customWidth="1"/>
    <col min="14601" max="14604" width="8.7109375" style="4" bestFit="1" customWidth="1"/>
    <col min="14605" max="14605" width="11.5703125" style="4" customWidth="1"/>
    <col min="14606" max="14606" width="8.7109375" style="4" bestFit="1" customWidth="1"/>
    <col min="14607" max="14607" width="10.28515625" style="4" customWidth="1"/>
    <col min="14608" max="14608" width="10.140625" style="4" customWidth="1"/>
    <col min="14609" max="14609" width="11.28515625" style="4" customWidth="1"/>
    <col min="14610" max="14610" width="10.85546875" style="4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39.85546875" style="4" customWidth="1"/>
    <col min="14856" max="14856" width="8.7109375" style="4" customWidth="1"/>
    <col min="14857" max="14860" width="8.7109375" style="4" bestFit="1" customWidth="1"/>
    <col min="14861" max="14861" width="11.5703125" style="4" customWidth="1"/>
    <col min="14862" max="14862" width="8.7109375" style="4" bestFit="1" customWidth="1"/>
    <col min="14863" max="14863" width="10.28515625" style="4" customWidth="1"/>
    <col min="14864" max="14864" width="10.140625" style="4" customWidth="1"/>
    <col min="14865" max="14865" width="11.28515625" style="4" customWidth="1"/>
    <col min="14866" max="14866" width="10.85546875" style="4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39.85546875" style="4" customWidth="1"/>
    <col min="15112" max="15112" width="8.7109375" style="4" customWidth="1"/>
    <col min="15113" max="15116" width="8.7109375" style="4" bestFit="1" customWidth="1"/>
    <col min="15117" max="15117" width="11.5703125" style="4" customWidth="1"/>
    <col min="15118" max="15118" width="8.7109375" style="4" bestFit="1" customWidth="1"/>
    <col min="15119" max="15119" width="10.28515625" style="4" customWidth="1"/>
    <col min="15120" max="15120" width="10.140625" style="4" customWidth="1"/>
    <col min="15121" max="15121" width="11.28515625" style="4" customWidth="1"/>
    <col min="15122" max="15122" width="10.85546875" style="4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39.85546875" style="4" customWidth="1"/>
    <col min="15368" max="15368" width="8.7109375" style="4" customWidth="1"/>
    <col min="15369" max="15372" width="8.7109375" style="4" bestFit="1" customWidth="1"/>
    <col min="15373" max="15373" width="11.5703125" style="4" customWidth="1"/>
    <col min="15374" max="15374" width="8.7109375" style="4" bestFit="1" customWidth="1"/>
    <col min="15375" max="15375" width="10.28515625" style="4" customWidth="1"/>
    <col min="15376" max="15376" width="10.140625" style="4" customWidth="1"/>
    <col min="15377" max="15377" width="11.28515625" style="4" customWidth="1"/>
    <col min="15378" max="15378" width="10.85546875" style="4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39.85546875" style="4" customWidth="1"/>
    <col min="15624" max="15624" width="8.7109375" style="4" customWidth="1"/>
    <col min="15625" max="15628" width="8.7109375" style="4" bestFit="1" customWidth="1"/>
    <col min="15629" max="15629" width="11.5703125" style="4" customWidth="1"/>
    <col min="15630" max="15630" width="8.7109375" style="4" bestFit="1" customWidth="1"/>
    <col min="15631" max="15631" width="10.28515625" style="4" customWidth="1"/>
    <col min="15632" max="15632" width="10.140625" style="4" customWidth="1"/>
    <col min="15633" max="15633" width="11.28515625" style="4" customWidth="1"/>
    <col min="15634" max="15634" width="10.85546875" style="4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39.85546875" style="4" customWidth="1"/>
    <col min="15880" max="15880" width="8.7109375" style="4" customWidth="1"/>
    <col min="15881" max="15884" width="8.7109375" style="4" bestFit="1" customWidth="1"/>
    <col min="15885" max="15885" width="11.5703125" style="4" customWidth="1"/>
    <col min="15886" max="15886" width="8.7109375" style="4" bestFit="1" customWidth="1"/>
    <col min="15887" max="15887" width="10.28515625" style="4" customWidth="1"/>
    <col min="15888" max="15888" width="10.140625" style="4" customWidth="1"/>
    <col min="15889" max="15889" width="11.28515625" style="4" customWidth="1"/>
    <col min="15890" max="15890" width="10.85546875" style="4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39.85546875" style="4" customWidth="1"/>
    <col min="16136" max="16136" width="8.7109375" style="4" customWidth="1"/>
    <col min="16137" max="16140" width="8.7109375" style="4" bestFit="1" customWidth="1"/>
    <col min="16141" max="16141" width="11.5703125" style="4" customWidth="1"/>
    <col min="16142" max="16142" width="8.7109375" style="4" bestFit="1" customWidth="1"/>
    <col min="16143" max="16143" width="10.28515625" style="4" customWidth="1"/>
    <col min="16144" max="16144" width="10.140625" style="4" customWidth="1"/>
    <col min="16145" max="16145" width="11.28515625" style="4" customWidth="1"/>
    <col min="16146" max="16146" width="10.85546875" style="4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765" t="s">
        <v>352</v>
      </c>
      <c r="H2" s="766" t="s">
        <v>479</v>
      </c>
      <c r="I2" s="767"/>
      <c r="J2" s="768"/>
      <c r="K2" s="1323" t="s">
        <v>6</v>
      </c>
      <c r="L2" s="1324"/>
      <c r="M2" s="1325" t="s">
        <v>480</v>
      </c>
      <c r="N2" s="1326"/>
      <c r="O2" s="1326"/>
      <c r="P2" s="1326"/>
      <c r="Q2" s="1326"/>
      <c r="R2" s="1327"/>
    </row>
    <row r="3" spans="1:18" x14ac:dyDescent="0.2">
      <c r="A3" s="1"/>
      <c r="B3" s="10"/>
      <c r="C3" s="3"/>
      <c r="D3" s="3"/>
      <c r="E3" s="1"/>
      <c r="F3" s="1"/>
      <c r="G3" s="769" t="s">
        <v>7</v>
      </c>
      <c r="H3" s="770">
        <v>40908</v>
      </c>
      <c r="I3" s="770">
        <v>41274</v>
      </c>
      <c r="J3" s="770">
        <v>41639</v>
      </c>
      <c r="K3" s="770">
        <v>42004</v>
      </c>
      <c r="L3" s="770">
        <v>42369</v>
      </c>
      <c r="M3" s="770">
        <v>42735</v>
      </c>
      <c r="N3" s="770">
        <v>43100</v>
      </c>
      <c r="O3" s="770">
        <v>43465</v>
      </c>
      <c r="P3" s="770">
        <v>43830</v>
      </c>
      <c r="Q3" s="770">
        <v>44196</v>
      </c>
      <c r="R3" s="770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771" t="s">
        <v>9</v>
      </c>
      <c r="H4" s="772">
        <f t="shared" ref="H4:R4" si="0">H5+H10</f>
        <v>12498.413</v>
      </c>
      <c r="I4" s="772">
        <f t="shared" si="0"/>
        <v>12173.442999999999</v>
      </c>
      <c r="J4" s="772">
        <f t="shared" si="0"/>
        <v>11715.913</v>
      </c>
      <c r="K4" s="772">
        <f t="shared" si="0"/>
        <v>11213.396000000001</v>
      </c>
      <c r="L4" s="772">
        <f t="shared" si="0"/>
        <v>10724.312000000002</v>
      </c>
      <c r="M4" s="772">
        <f t="shared" si="0"/>
        <v>10231</v>
      </c>
      <c r="N4" s="772">
        <f t="shared" si="0"/>
        <v>9742</v>
      </c>
      <c r="O4" s="772">
        <f t="shared" si="0"/>
        <v>9194</v>
      </c>
      <c r="P4" s="772">
        <f t="shared" si="0"/>
        <v>9377</v>
      </c>
      <c r="Q4" s="772">
        <f t="shared" si="0"/>
        <v>8898</v>
      </c>
      <c r="R4" s="772">
        <f t="shared" si="0"/>
        <v>8490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772">
        <f t="shared" ref="H5:Q5" si="1">SUM(H6:H9)</f>
        <v>360.38400000000001</v>
      </c>
      <c r="I5" s="772">
        <f t="shared" si="1"/>
        <v>348.447</v>
      </c>
      <c r="J5" s="772">
        <f t="shared" si="1"/>
        <v>390.03700000000003</v>
      </c>
      <c r="K5" s="772">
        <f t="shared" si="1"/>
        <v>390.74299999999999</v>
      </c>
      <c r="L5" s="772">
        <f t="shared" si="1"/>
        <v>406.91500000000002</v>
      </c>
      <c r="M5" s="772">
        <f t="shared" si="1"/>
        <v>412</v>
      </c>
      <c r="N5" s="772">
        <f t="shared" si="1"/>
        <v>419</v>
      </c>
      <c r="O5" s="772">
        <f t="shared" si="1"/>
        <v>406</v>
      </c>
      <c r="P5" s="772">
        <f t="shared" si="1"/>
        <v>512</v>
      </c>
      <c r="Q5" s="772">
        <f t="shared" si="1"/>
        <v>610</v>
      </c>
      <c r="R5" s="772">
        <f>SUM(R6:R9)</f>
        <v>781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773">
        <v>24.224</v>
      </c>
      <c r="I6" s="773">
        <v>4.0979999999999999</v>
      </c>
      <c r="J6" s="773">
        <v>3.3559999999999999</v>
      </c>
      <c r="K6" s="773">
        <v>9.6609999999999996</v>
      </c>
      <c r="L6" s="773">
        <v>4.2089999999999996</v>
      </c>
      <c r="M6" s="773">
        <v>5</v>
      </c>
      <c r="N6" s="773">
        <v>10</v>
      </c>
      <c r="O6" s="773">
        <v>2</v>
      </c>
      <c r="P6" s="773">
        <v>2</v>
      </c>
      <c r="Q6" s="773">
        <v>2</v>
      </c>
      <c r="R6" s="773">
        <v>2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773">
        <v>332.58300000000003</v>
      </c>
      <c r="I7" s="773">
        <v>339.601</v>
      </c>
      <c r="J7" s="773">
        <v>385.31400000000002</v>
      </c>
      <c r="K7" s="773">
        <v>379.04899999999998</v>
      </c>
      <c r="L7" s="773">
        <v>401.90300000000002</v>
      </c>
      <c r="M7" s="773">
        <v>405</v>
      </c>
      <c r="N7" s="773">
        <v>408</v>
      </c>
      <c r="O7" s="773">
        <v>403</v>
      </c>
      <c r="P7" s="773">
        <v>510</v>
      </c>
      <c r="Q7" s="773">
        <v>608</v>
      </c>
      <c r="R7" s="773">
        <v>779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773">
        <v>0</v>
      </c>
      <c r="I8" s="773">
        <v>0</v>
      </c>
      <c r="J8" s="773">
        <v>0</v>
      </c>
      <c r="K8" s="773">
        <v>0</v>
      </c>
      <c r="L8" s="773">
        <v>0</v>
      </c>
      <c r="M8" s="773">
        <v>0</v>
      </c>
      <c r="N8" s="773">
        <v>0</v>
      </c>
      <c r="O8" s="773">
        <v>0</v>
      </c>
      <c r="P8" s="773">
        <v>0</v>
      </c>
      <c r="Q8" s="773">
        <v>0</v>
      </c>
      <c r="R8" s="773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773">
        <v>3.577</v>
      </c>
      <c r="I9" s="773">
        <v>4.7480000000000002</v>
      </c>
      <c r="J9" s="773">
        <v>1.367</v>
      </c>
      <c r="K9" s="773">
        <v>2.0329999999999999</v>
      </c>
      <c r="L9" s="773">
        <v>0.80300000000000005</v>
      </c>
      <c r="M9" s="773">
        <v>2</v>
      </c>
      <c r="N9" s="773">
        <v>1</v>
      </c>
      <c r="O9" s="773">
        <v>1</v>
      </c>
      <c r="P9" s="773">
        <v>0</v>
      </c>
      <c r="Q9" s="773">
        <v>0</v>
      </c>
      <c r="R9" s="773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772">
        <f>SUM(H11:H16)</f>
        <v>12138.029</v>
      </c>
      <c r="I10" s="772">
        <f t="shared" ref="I10:R10" si="2">SUM(I11:I16)</f>
        <v>11824.995999999999</v>
      </c>
      <c r="J10" s="772">
        <f t="shared" si="2"/>
        <v>11325.876</v>
      </c>
      <c r="K10" s="772">
        <f t="shared" si="2"/>
        <v>10822.653</v>
      </c>
      <c r="L10" s="772">
        <f t="shared" si="2"/>
        <v>10317.397000000001</v>
      </c>
      <c r="M10" s="772">
        <f t="shared" si="2"/>
        <v>9819</v>
      </c>
      <c r="N10" s="772">
        <f t="shared" si="2"/>
        <v>9323</v>
      </c>
      <c r="O10" s="772">
        <f t="shared" si="2"/>
        <v>8788</v>
      </c>
      <c r="P10" s="772">
        <f t="shared" si="2"/>
        <v>8865</v>
      </c>
      <c r="Q10" s="772">
        <f t="shared" si="2"/>
        <v>8288</v>
      </c>
      <c r="R10" s="772">
        <f t="shared" si="2"/>
        <v>7709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773">
        <v>0</v>
      </c>
      <c r="I11" s="773">
        <v>0</v>
      </c>
      <c r="J11" s="773">
        <v>0</v>
      </c>
      <c r="K11" s="773">
        <v>0</v>
      </c>
      <c r="L11" s="773">
        <v>0</v>
      </c>
      <c r="M11" s="773">
        <v>0</v>
      </c>
      <c r="N11" s="773">
        <v>0</v>
      </c>
      <c r="O11" s="773">
        <v>0</v>
      </c>
      <c r="P11" s="773">
        <v>0</v>
      </c>
      <c r="Q11" s="773">
        <v>0</v>
      </c>
      <c r="R11" s="773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773">
        <v>0</v>
      </c>
      <c r="I12" s="773">
        <v>0</v>
      </c>
      <c r="J12" s="773">
        <v>0</v>
      </c>
      <c r="K12" s="773">
        <v>0</v>
      </c>
      <c r="L12" s="773">
        <v>0</v>
      </c>
      <c r="M12" s="773">
        <v>0</v>
      </c>
      <c r="N12" s="773">
        <v>0</v>
      </c>
      <c r="O12" s="773">
        <v>0</v>
      </c>
      <c r="P12" s="773">
        <v>0</v>
      </c>
      <c r="Q12" s="773">
        <v>0</v>
      </c>
      <c r="R12" s="773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773">
        <v>4530.5129999999999</v>
      </c>
      <c r="I13" s="773">
        <v>4239.5029999999997</v>
      </c>
      <c r="J13" s="773">
        <v>3896.1660000000002</v>
      </c>
      <c r="K13" s="773">
        <v>3557.306</v>
      </c>
      <c r="L13" s="773">
        <v>3206.0360000000001</v>
      </c>
      <c r="M13" s="773">
        <v>2846</v>
      </c>
      <c r="N13" s="773">
        <v>2486</v>
      </c>
      <c r="O13" s="773">
        <v>2118</v>
      </c>
      <c r="P13" s="773">
        <v>1745</v>
      </c>
      <c r="Q13" s="773">
        <v>1368</v>
      </c>
      <c r="R13" s="773">
        <v>986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773">
        <v>0</v>
      </c>
      <c r="I14" s="773">
        <v>0</v>
      </c>
      <c r="J14" s="773">
        <v>0</v>
      </c>
      <c r="K14" s="773">
        <v>0</v>
      </c>
      <c r="L14" s="773">
        <v>0</v>
      </c>
      <c r="M14" s="773">
        <v>0</v>
      </c>
      <c r="N14" s="773">
        <v>0</v>
      </c>
      <c r="O14" s="773">
        <v>0</v>
      </c>
      <c r="P14" s="773">
        <v>613</v>
      </c>
      <c r="Q14" s="773">
        <v>0</v>
      </c>
      <c r="R14" s="773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773">
        <f>7604.59+2.926</f>
        <v>7607.5160000000005</v>
      </c>
      <c r="I15" s="773">
        <f>7583.323+2.17</f>
        <v>7585.4930000000004</v>
      </c>
      <c r="J15" s="773">
        <v>7429.71</v>
      </c>
      <c r="K15" s="773">
        <v>7265.3469999999998</v>
      </c>
      <c r="L15" s="773">
        <v>7111.3609999999999</v>
      </c>
      <c r="M15" s="773">
        <v>6973</v>
      </c>
      <c r="N15" s="773">
        <v>6837</v>
      </c>
      <c r="O15" s="773">
        <v>6670</v>
      </c>
      <c r="P15" s="773">
        <v>6507</v>
      </c>
      <c r="Q15" s="773">
        <v>6920</v>
      </c>
      <c r="R15" s="773">
        <v>6723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773">
        <v>0</v>
      </c>
      <c r="I16" s="773">
        <v>0</v>
      </c>
      <c r="J16" s="773">
        <v>0</v>
      </c>
      <c r="K16" s="773">
        <v>0</v>
      </c>
      <c r="L16" s="773">
        <v>0</v>
      </c>
      <c r="M16" s="773">
        <v>0</v>
      </c>
      <c r="N16" s="773">
        <v>0</v>
      </c>
      <c r="O16" s="773">
        <v>0</v>
      </c>
      <c r="P16" s="773">
        <v>0</v>
      </c>
      <c r="Q16" s="773">
        <v>0</v>
      </c>
      <c r="R16" s="773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774">
        <v>0</v>
      </c>
      <c r="I17" s="774">
        <v>0</v>
      </c>
      <c r="J17" s="774">
        <v>0</v>
      </c>
      <c r="K17" s="774">
        <v>0</v>
      </c>
      <c r="L17" s="774">
        <v>0</v>
      </c>
      <c r="M17" s="774">
        <v>0</v>
      </c>
      <c r="N17" s="774">
        <v>0</v>
      </c>
      <c r="O17" s="774">
        <v>0</v>
      </c>
      <c r="P17" s="774">
        <v>0</v>
      </c>
      <c r="Q17" s="774">
        <v>0</v>
      </c>
      <c r="R17" s="774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772">
        <f>H19+H27</f>
        <v>12498.412</v>
      </c>
      <c r="I18" s="772">
        <f t="shared" ref="I18:R18" si="3">I19+I27</f>
        <v>12173.442999999999</v>
      </c>
      <c r="J18" s="772">
        <f t="shared" si="3"/>
        <v>11715.913</v>
      </c>
      <c r="K18" s="772">
        <f t="shared" si="3"/>
        <v>11213.396999999999</v>
      </c>
      <c r="L18" s="772">
        <f t="shared" si="3"/>
        <v>10724.313</v>
      </c>
      <c r="M18" s="772">
        <f t="shared" si="3"/>
        <v>10231</v>
      </c>
      <c r="N18" s="772">
        <f t="shared" si="3"/>
        <v>9742</v>
      </c>
      <c r="O18" s="772">
        <f t="shared" si="3"/>
        <v>9194</v>
      </c>
      <c r="P18" s="772">
        <f t="shared" si="3"/>
        <v>9377</v>
      </c>
      <c r="Q18" s="772">
        <f t="shared" si="3"/>
        <v>8898</v>
      </c>
      <c r="R18" s="772">
        <f t="shared" si="3"/>
        <v>8490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772">
        <f>SUM(H21:H26)</f>
        <v>5557.8630000000003</v>
      </c>
      <c r="I19" s="772">
        <f t="shared" ref="I19:R19" si="4">SUM(I21:I26)</f>
        <v>5081.84</v>
      </c>
      <c r="J19" s="772">
        <f t="shared" si="4"/>
        <v>4745.6540000000005</v>
      </c>
      <c r="K19" s="772">
        <f t="shared" si="4"/>
        <v>4370.0279999999993</v>
      </c>
      <c r="L19" s="772">
        <f t="shared" si="4"/>
        <v>4139.5259999999998</v>
      </c>
      <c r="M19" s="772">
        <f t="shared" si="4"/>
        <v>3751</v>
      </c>
      <c r="N19" s="772">
        <f t="shared" si="4"/>
        <v>3418</v>
      </c>
      <c r="O19" s="772">
        <f t="shared" si="4"/>
        <v>2887</v>
      </c>
      <c r="P19" s="772">
        <f t="shared" si="4"/>
        <v>2466</v>
      </c>
      <c r="Q19" s="772">
        <f t="shared" si="4"/>
        <v>2018</v>
      </c>
      <c r="R19" s="772">
        <f t="shared" si="4"/>
        <v>1610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775">
        <v>767.899</v>
      </c>
      <c r="I20" s="775">
        <v>614.29100000000005</v>
      </c>
      <c r="J20" s="775">
        <v>614.00400000000002</v>
      </c>
      <c r="K20" s="775">
        <v>577.23800000000006</v>
      </c>
      <c r="L20" s="775">
        <v>698.00599999999997</v>
      </c>
      <c r="M20" s="775">
        <v>668</v>
      </c>
      <c r="N20" s="775">
        <v>696</v>
      </c>
      <c r="O20" s="775">
        <v>551</v>
      </c>
      <c r="P20" s="775">
        <v>398</v>
      </c>
      <c r="Q20" s="775">
        <v>431</v>
      </c>
      <c r="R20" s="775">
        <v>410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773">
        <f>58.137+6.128+254.531+23.967</f>
        <v>342.76299999999998</v>
      </c>
      <c r="I21" s="773">
        <f>95.639+15.32+204.884</f>
        <v>315.84299999999996</v>
      </c>
      <c r="J21" s="773">
        <f>115.016+18.794+144.036</f>
        <v>277.846</v>
      </c>
      <c r="K21" s="773">
        <f>67.966+11.515+158.897</f>
        <v>238.37799999999999</v>
      </c>
      <c r="L21" s="773">
        <f>109.793+19.062+217.881</f>
        <v>346.73599999999999</v>
      </c>
      <c r="M21" s="773">
        <v>309</v>
      </c>
      <c r="N21" s="773">
        <v>336</v>
      </c>
      <c r="O21" s="773">
        <v>173</v>
      </c>
      <c r="P21" s="773">
        <v>125</v>
      </c>
      <c r="Q21" s="773">
        <v>54</v>
      </c>
      <c r="R21" s="773">
        <v>28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773">
        <v>0</v>
      </c>
      <c r="I22" s="773">
        <v>0</v>
      </c>
      <c r="J22" s="773">
        <v>0</v>
      </c>
      <c r="K22" s="773">
        <v>0</v>
      </c>
      <c r="L22" s="773">
        <v>0</v>
      </c>
      <c r="M22" s="773">
        <v>0</v>
      </c>
      <c r="N22" s="773">
        <v>0</v>
      </c>
      <c r="O22" s="773">
        <v>0</v>
      </c>
      <c r="P22" s="773">
        <v>0</v>
      </c>
      <c r="Q22" s="773">
        <v>0</v>
      </c>
      <c r="R22" s="773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773">
        <v>0</v>
      </c>
      <c r="I23" s="773">
        <v>0</v>
      </c>
      <c r="J23" s="773">
        <v>0</v>
      </c>
      <c r="K23" s="773">
        <v>0</v>
      </c>
      <c r="L23" s="773">
        <v>0</v>
      </c>
      <c r="M23" s="773">
        <v>0</v>
      </c>
      <c r="N23" s="773">
        <v>0</v>
      </c>
      <c r="O23" s="773">
        <v>0</v>
      </c>
      <c r="P23" s="773">
        <v>0</v>
      </c>
      <c r="Q23" s="773">
        <v>0</v>
      </c>
      <c r="R23" s="773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773">
        <f>449.103+4765.997</f>
        <v>5215.1000000000004</v>
      </c>
      <c r="I24" s="773">
        <f>298.448+4467.549</f>
        <v>4765.9970000000003</v>
      </c>
      <c r="J24" s="773">
        <f>336.158+4131.65</f>
        <v>4467.808</v>
      </c>
      <c r="K24" s="773">
        <f>338.86+3792.79</f>
        <v>4131.6499999999996</v>
      </c>
      <c r="L24" s="773">
        <f>351.27+3441.52</f>
        <v>3792.79</v>
      </c>
      <c r="M24" s="773">
        <v>3442</v>
      </c>
      <c r="N24" s="773">
        <v>3082</v>
      </c>
      <c r="O24" s="773">
        <v>2714</v>
      </c>
      <c r="P24" s="773">
        <v>2341</v>
      </c>
      <c r="Q24" s="773">
        <v>1964</v>
      </c>
      <c r="R24" s="773">
        <v>1582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773">
        <v>0</v>
      </c>
      <c r="I25" s="773">
        <v>0</v>
      </c>
      <c r="J25" s="773">
        <v>0</v>
      </c>
      <c r="K25" s="773">
        <v>0</v>
      </c>
      <c r="L25" s="773">
        <v>0</v>
      </c>
      <c r="M25" s="773">
        <v>0</v>
      </c>
      <c r="N25" s="773">
        <v>0</v>
      </c>
      <c r="O25" s="773">
        <v>0</v>
      </c>
      <c r="P25" s="773">
        <v>0</v>
      </c>
      <c r="Q25" s="773">
        <v>0</v>
      </c>
      <c r="R25" s="773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773">
        <v>0</v>
      </c>
      <c r="I26" s="773">
        <v>0</v>
      </c>
      <c r="J26" s="773">
        <v>0</v>
      </c>
      <c r="K26" s="773">
        <v>0</v>
      </c>
      <c r="L26" s="773">
        <v>0</v>
      </c>
      <c r="M26" s="773">
        <v>0</v>
      </c>
      <c r="N26" s="773">
        <v>0</v>
      </c>
      <c r="O26" s="773">
        <v>0</v>
      </c>
      <c r="P26" s="773">
        <v>0</v>
      </c>
      <c r="Q26" s="773">
        <v>0</v>
      </c>
      <c r="R26" s="773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772">
        <f>SUM(H28:H30)</f>
        <v>6940.549</v>
      </c>
      <c r="I27" s="772">
        <f t="shared" ref="I27:R27" si="5">SUM(I28:I30)</f>
        <v>7091.6030000000001</v>
      </c>
      <c r="J27" s="772">
        <f t="shared" si="5"/>
        <v>6970.259</v>
      </c>
      <c r="K27" s="772">
        <f t="shared" si="5"/>
        <v>6843.3689999999997</v>
      </c>
      <c r="L27" s="772">
        <f t="shared" si="5"/>
        <v>6584.7870000000003</v>
      </c>
      <c r="M27" s="772">
        <f t="shared" si="5"/>
        <v>6480</v>
      </c>
      <c r="N27" s="772">
        <f t="shared" si="5"/>
        <v>6324</v>
      </c>
      <c r="O27" s="772">
        <f t="shared" si="5"/>
        <v>6307</v>
      </c>
      <c r="P27" s="772">
        <f t="shared" si="5"/>
        <v>6911</v>
      </c>
      <c r="Q27" s="772">
        <f t="shared" si="5"/>
        <v>6880</v>
      </c>
      <c r="R27" s="772">
        <f t="shared" si="5"/>
        <v>6880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773">
        <v>2771.8649999999998</v>
      </c>
      <c r="I28" s="773">
        <v>2771.8649999999998</v>
      </c>
      <c r="J28" s="773">
        <v>2780.8649999999998</v>
      </c>
      <c r="K28" s="773">
        <v>2780.8649999999998</v>
      </c>
      <c r="L28" s="773">
        <v>2780.8649999999998</v>
      </c>
      <c r="M28" s="773">
        <v>2781</v>
      </c>
      <c r="N28" s="773">
        <v>2781</v>
      </c>
      <c r="O28" s="773">
        <v>2781</v>
      </c>
      <c r="P28" s="773">
        <v>2781</v>
      </c>
      <c r="Q28" s="773">
        <v>2781</v>
      </c>
      <c r="R28" s="773">
        <v>2781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773">
        <v>4080.54</v>
      </c>
      <c r="I29" s="773">
        <f>H29+H30</f>
        <v>4168.6840000000002</v>
      </c>
      <c r="J29" s="773">
        <f>I29+I30</f>
        <v>4319.7380000000003</v>
      </c>
      <c r="K29" s="773">
        <f>J29+J30</f>
        <v>4189.3940000000002</v>
      </c>
      <c r="L29" s="773">
        <f>K29+K30</f>
        <v>4062.5040000000004</v>
      </c>
      <c r="M29" s="773">
        <v>3803</v>
      </c>
      <c r="N29" s="773">
        <v>3699</v>
      </c>
      <c r="O29" s="773">
        <v>3543</v>
      </c>
      <c r="P29" s="773">
        <v>3526</v>
      </c>
      <c r="Q29" s="773">
        <v>4130</v>
      </c>
      <c r="R29" s="773">
        <v>4099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773">
        <v>88.144000000000005</v>
      </c>
      <c r="I30" s="773">
        <v>151.054</v>
      </c>
      <c r="J30" s="773">
        <v>-130.34399999999999</v>
      </c>
      <c r="K30" s="773">
        <v>-126.89</v>
      </c>
      <c r="L30" s="773">
        <v>-258.58199999999999</v>
      </c>
      <c r="M30" s="773">
        <v>-104</v>
      </c>
      <c r="N30" s="773">
        <v>-156</v>
      </c>
      <c r="O30" s="773">
        <v>-17</v>
      </c>
      <c r="P30" s="773">
        <v>604</v>
      </c>
      <c r="Q30" s="773">
        <v>-31</v>
      </c>
      <c r="R30" s="773">
        <v>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776">
        <f t="shared" ref="H31:R31" si="6">H4-H18</f>
        <v>1.0000000002037268E-3</v>
      </c>
      <c r="I31" s="776">
        <f t="shared" si="6"/>
        <v>0</v>
      </c>
      <c r="J31" s="776">
        <f t="shared" si="6"/>
        <v>0</v>
      </c>
      <c r="K31" s="776">
        <f t="shared" si="6"/>
        <v>-9.9999999838473741E-4</v>
      </c>
      <c r="L31" s="776">
        <f t="shared" si="6"/>
        <v>-9.9999999838473741E-4</v>
      </c>
      <c r="M31" s="776">
        <f t="shared" si="6"/>
        <v>0</v>
      </c>
      <c r="N31" s="776">
        <f t="shared" si="6"/>
        <v>0</v>
      </c>
      <c r="O31" s="776">
        <f t="shared" si="6"/>
        <v>0</v>
      </c>
      <c r="P31" s="776">
        <f t="shared" si="6"/>
        <v>0</v>
      </c>
      <c r="Q31" s="776">
        <f t="shared" si="6"/>
        <v>0</v>
      </c>
      <c r="R31" s="776">
        <f t="shared" si="6"/>
        <v>0</v>
      </c>
      <c r="S31" s="4"/>
    </row>
    <row r="32" spans="1:19" x14ac:dyDescent="0.2">
      <c r="G32" s="769" t="s">
        <v>78</v>
      </c>
      <c r="H32" s="777">
        <v>2011</v>
      </c>
      <c r="I32" s="777">
        <f t="shared" ref="I32:R32" si="7">H32+1</f>
        <v>2012</v>
      </c>
      <c r="J32" s="777">
        <f t="shared" si="7"/>
        <v>2013</v>
      </c>
      <c r="K32" s="777">
        <f t="shared" si="7"/>
        <v>2014</v>
      </c>
      <c r="L32" s="777">
        <f t="shared" si="7"/>
        <v>2015</v>
      </c>
      <c r="M32" s="777">
        <f t="shared" si="7"/>
        <v>2016</v>
      </c>
      <c r="N32" s="777">
        <f t="shared" si="7"/>
        <v>2017</v>
      </c>
      <c r="O32" s="777">
        <f t="shared" si="7"/>
        <v>2018</v>
      </c>
      <c r="P32" s="777">
        <f t="shared" si="7"/>
        <v>2019</v>
      </c>
      <c r="Q32" s="777">
        <f t="shared" si="7"/>
        <v>2020</v>
      </c>
      <c r="R32" s="777">
        <f t="shared" si="7"/>
        <v>2021</v>
      </c>
    </row>
    <row r="33" spans="1:18" x14ac:dyDescent="0.2">
      <c r="B33" s="2" t="s">
        <v>79</v>
      </c>
      <c r="C33" s="19">
        <v>3</v>
      </c>
      <c r="G33" s="771" t="s">
        <v>80</v>
      </c>
      <c r="H33" s="772">
        <f>SUM(H34:H37)</f>
        <v>1941.5360000000001</v>
      </c>
      <c r="I33" s="772">
        <f t="shared" ref="I33:R33" si="8">SUM(I34:I37)</f>
        <v>2055.5950000000003</v>
      </c>
      <c r="J33" s="772">
        <f t="shared" si="8"/>
        <v>1898.645</v>
      </c>
      <c r="K33" s="772">
        <f t="shared" si="8"/>
        <v>1990.6579999999999</v>
      </c>
      <c r="L33" s="772">
        <f t="shared" si="8"/>
        <v>1955.914</v>
      </c>
      <c r="M33" s="772">
        <f t="shared" si="8"/>
        <v>2231</v>
      </c>
      <c r="N33" s="772">
        <f t="shared" si="8"/>
        <v>2347</v>
      </c>
      <c r="O33" s="772">
        <f t="shared" si="8"/>
        <v>2571</v>
      </c>
      <c r="P33" s="772">
        <f t="shared" si="8"/>
        <v>3184</v>
      </c>
      <c r="Q33" s="772">
        <f t="shared" si="8"/>
        <v>2552</v>
      </c>
      <c r="R33" s="772">
        <f t="shared" si="8"/>
        <v>2580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773">
        <v>0</v>
      </c>
      <c r="I34" s="773">
        <v>0</v>
      </c>
      <c r="J34" s="773">
        <v>0</v>
      </c>
      <c r="K34" s="773">
        <v>0</v>
      </c>
      <c r="L34" s="773">
        <v>0</v>
      </c>
      <c r="M34" s="773">
        <v>0</v>
      </c>
      <c r="N34" s="773">
        <v>0</v>
      </c>
      <c r="O34" s="773">
        <v>0</v>
      </c>
      <c r="P34" s="773">
        <v>0</v>
      </c>
      <c r="Q34" s="773">
        <v>0</v>
      </c>
      <c r="R34" s="773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773">
        <v>483.49099999999999</v>
      </c>
      <c r="I35" s="773">
        <v>507.51600000000002</v>
      </c>
      <c r="J35" s="773">
        <v>397.98200000000003</v>
      </c>
      <c r="K35" s="773">
        <v>451.96199999999999</v>
      </c>
      <c r="L35" s="773">
        <v>465.03500000000003</v>
      </c>
      <c r="M35" s="773">
        <v>553</v>
      </c>
      <c r="N35" s="773">
        <v>606</v>
      </c>
      <c r="O35" s="773">
        <v>751</v>
      </c>
      <c r="P35" s="773">
        <v>751</v>
      </c>
      <c r="Q35" s="773">
        <v>760</v>
      </c>
      <c r="R35" s="773">
        <v>765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773">
        <v>1446.9110000000001</v>
      </c>
      <c r="I36" s="773">
        <v>1546.424</v>
      </c>
      <c r="J36" s="773">
        <v>1499.548</v>
      </c>
      <c r="K36" s="773">
        <v>1526.3119999999999</v>
      </c>
      <c r="L36" s="773">
        <v>1481.5039999999999</v>
      </c>
      <c r="M36" s="773">
        <v>1676</v>
      </c>
      <c r="N36" s="773">
        <v>1731</v>
      </c>
      <c r="O36" s="773">
        <v>1818</v>
      </c>
      <c r="P36" s="773">
        <v>2431</v>
      </c>
      <c r="Q36" s="773">
        <v>1780</v>
      </c>
      <c r="R36" s="773">
        <v>1800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773">
        <v>11.134</v>
      </c>
      <c r="I37" s="773">
        <v>1.655</v>
      </c>
      <c r="J37" s="773">
        <v>1.115</v>
      </c>
      <c r="K37" s="773">
        <v>12.384</v>
      </c>
      <c r="L37" s="773">
        <v>9.375</v>
      </c>
      <c r="M37" s="773">
        <v>2</v>
      </c>
      <c r="N37" s="773">
        <v>10</v>
      </c>
      <c r="O37" s="773">
        <v>2</v>
      </c>
      <c r="P37" s="773">
        <v>2</v>
      </c>
      <c r="Q37" s="773">
        <v>12</v>
      </c>
      <c r="R37" s="773">
        <v>15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772">
        <f>H39+H40</f>
        <v>0</v>
      </c>
      <c r="I38" s="772">
        <f t="shared" ref="I38:R38" si="9">I39+I40</f>
        <v>0</v>
      </c>
      <c r="J38" s="772">
        <f t="shared" si="9"/>
        <v>0</v>
      </c>
      <c r="K38" s="772">
        <f t="shared" si="9"/>
        <v>0</v>
      </c>
      <c r="L38" s="772">
        <f t="shared" si="9"/>
        <v>0</v>
      </c>
      <c r="M38" s="772">
        <f t="shared" si="9"/>
        <v>0</v>
      </c>
      <c r="N38" s="772">
        <f t="shared" si="9"/>
        <v>0</v>
      </c>
      <c r="O38" s="772">
        <f t="shared" si="9"/>
        <v>0</v>
      </c>
      <c r="P38" s="772">
        <f t="shared" si="9"/>
        <v>0</v>
      </c>
      <c r="Q38" s="772">
        <f t="shared" si="9"/>
        <v>0</v>
      </c>
      <c r="R38" s="772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773">
        <v>0</v>
      </c>
      <c r="I39" s="773">
        <v>0</v>
      </c>
      <c r="J39" s="773">
        <v>0</v>
      </c>
      <c r="K39" s="773">
        <v>0</v>
      </c>
      <c r="L39" s="773">
        <v>0</v>
      </c>
      <c r="M39" s="773">
        <v>0</v>
      </c>
      <c r="N39" s="773">
        <v>0</v>
      </c>
      <c r="O39" s="773">
        <v>0</v>
      </c>
      <c r="P39" s="773">
        <v>0</v>
      </c>
      <c r="Q39" s="773">
        <v>0</v>
      </c>
      <c r="R39" s="773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773">
        <v>0</v>
      </c>
      <c r="I40" s="773">
        <v>0</v>
      </c>
      <c r="J40" s="773">
        <v>0</v>
      </c>
      <c r="K40" s="773">
        <v>0</v>
      </c>
      <c r="L40" s="773">
        <v>0</v>
      </c>
      <c r="M40" s="773">
        <v>0</v>
      </c>
      <c r="N40" s="773">
        <v>0</v>
      </c>
      <c r="O40" s="773">
        <v>0</v>
      </c>
      <c r="P40" s="773">
        <v>0</v>
      </c>
      <c r="Q40" s="773">
        <v>0</v>
      </c>
      <c r="R40" s="773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772">
        <f>SUM(H42:H45)</f>
        <v>-1687.7510000000002</v>
      </c>
      <c r="I41" s="772">
        <f t="shared" ref="I41:R41" si="10">SUM(I42:I45)</f>
        <v>-1773.3300000000002</v>
      </c>
      <c r="J41" s="772">
        <f t="shared" si="10"/>
        <v>-1945.6220000000001</v>
      </c>
      <c r="K41" s="772">
        <f t="shared" si="10"/>
        <v>-2039.2529999999999</v>
      </c>
      <c r="L41" s="772">
        <f t="shared" si="10"/>
        <v>-2152.3739999999998</v>
      </c>
      <c r="M41" s="772">
        <f t="shared" si="10"/>
        <v>-2286</v>
      </c>
      <c r="N41" s="772">
        <f t="shared" si="10"/>
        <v>-2463</v>
      </c>
      <c r="O41" s="772">
        <f t="shared" si="10"/>
        <v>-2553</v>
      </c>
      <c r="P41" s="772">
        <f t="shared" si="10"/>
        <v>-2549</v>
      </c>
      <c r="Q41" s="772">
        <f t="shared" si="10"/>
        <v>-2555</v>
      </c>
      <c r="R41" s="772">
        <f t="shared" si="10"/>
        <v>-2554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773">
        <v>-1029.211</v>
      </c>
      <c r="I42" s="773">
        <v>-1105.6110000000001</v>
      </c>
      <c r="J42" s="773">
        <v>-1235.2360000000001</v>
      </c>
      <c r="K42" s="773">
        <v>-1353.0219999999999</v>
      </c>
      <c r="L42" s="773">
        <v>-1487.038</v>
      </c>
      <c r="M42" s="773">
        <v>-1596</v>
      </c>
      <c r="N42" s="773">
        <v>-1740</v>
      </c>
      <c r="O42" s="773">
        <v>-1760</v>
      </c>
      <c r="P42" s="773">
        <v>-1760</v>
      </c>
      <c r="Q42" s="773">
        <v>-1760</v>
      </c>
      <c r="R42" s="773">
        <v>-1760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773">
        <v>-381.358</v>
      </c>
      <c r="I43" s="773">
        <v>-487.39100000000002</v>
      </c>
      <c r="J43" s="773">
        <v>-525.23099999999999</v>
      </c>
      <c r="K43" s="773">
        <v>-505.86500000000001</v>
      </c>
      <c r="L43" s="773">
        <v>-485.96800000000002</v>
      </c>
      <c r="M43" s="773">
        <v>-503</v>
      </c>
      <c r="N43" s="773">
        <v>-536</v>
      </c>
      <c r="O43" s="773">
        <v>-599</v>
      </c>
      <c r="P43" s="773">
        <v>-600</v>
      </c>
      <c r="Q43" s="773">
        <v>-588</v>
      </c>
      <c r="R43" s="773">
        <v>-590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773">
        <v>-14.861000000000001</v>
      </c>
      <c r="I44" s="773">
        <v>-17.792000000000002</v>
      </c>
      <c r="J44" s="773">
        <v>-12.305</v>
      </c>
      <c r="K44" s="773">
        <v>-7.8360000000000003</v>
      </c>
      <c r="L44" s="773">
        <v>-7.6580000000000004</v>
      </c>
      <c r="M44" s="773">
        <v>-12</v>
      </c>
      <c r="N44" s="773">
        <v>-7</v>
      </c>
      <c r="O44" s="773">
        <v>-7</v>
      </c>
      <c r="P44" s="773">
        <f>+-7</f>
        <v>-7</v>
      </c>
      <c r="Q44" s="773">
        <v>-7</v>
      </c>
      <c r="R44" s="773">
        <v>-7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773">
        <v>-262.32100000000003</v>
      </c>
      <c r="I45" s="773">
        <v>-162.536</v>
      </c>
      <c r="J45" s="773">
        <v>-172.85</v>
      </c>
      <c r="K45" s="773">
        <v>-172.53</v>
      </c>
      <c r="L45" s="773">
        <v>-171.71</v>
      </c>
      <c r="M45" s="773">
        <v>-175</v>
      </c>
      <c r="N45" s="773">
        <v>-180</v>
      </c>
      <c r="O45" s="773">
        <v>-187</v>
      </c>
      <c r="P45" s="773">
        <v>-182</v>
      </c>
      <c r="Q45" s="773">
        <v>-200</v>
      </c>
      <c r="R45" s="773">
        <v>-197</v>
      </c>
    </row>
    <row r="46" spans="1:18" x14ac:dyDescent="0.2">
      <c r="B46" s="2" t="s">
        <v>107</v>
      </c>
      <c r="G46" s="18" t="s">
        <v>108</v>
      </c>
      <c r="H46" s="772">
        <f>H33+H38+H41</f>
        <v>253.78499999999985</v>
      </c>
      <c r="I46" s="772">
        <f t="shared" ref="I46:R46" si="11">I33+I38+I41</f>
        <v>282.2650000000001</v>
      </c>
      <c r="J46" s="772">
        <f t="shared" si="11"/>
        <v>-46.977000000000089</v>
      </c>
      <c r="K46" s="772">
        <f t="shared" si="11"/>
        <v>-48.595000000000027</v>
      </c>
      <c r="L46" s="772">
        <f t="shared" si="11"/>
        <v>-196.45999999999981</v>
      </c>
      <c r="M46" s="772">
        <f t="shared" si="11"/>
        <v>-55</v>
      </c>
      <c r="N46" s="772">
        <f t="shared" si="11"/>
        <v>-116</v>
      </c>
      <c r="O46" s="772">
        <f t="shared" si="11"/>
        <v>18</v>
      </c>
      <c r="P46" s="772">
        <f t="shared" si="11"/>
        <v>635</v>
      </c>
      <c r="Q46" s="772">
        <f t="shared" si="11"/>
        <v>-3</v>
      </c>
      <c r="R46" s="772">
        <f t="shared" si="11"/>
        <v>26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773">
        <v>-165.64099999999999</v>
      </c>
      <c r="I47" s="773">
        <v>-131.21199999999999</v>
      </c>
      <c r="J47" s="773">
        <v>-83.367000000000004</v>
      </c>
      <c r="K47" s="773">
        <v>-78.296000000000006</v>
      </c>
      <c r="L47" s="773">
        <v>-62.122999999999998</v>
      </c>
      <c r="M47" s="773">
        <v>-49</v>
      </c>
      <c r="N47" s="773">
        <v>-40</v>
      </c>
      <c r="O47" s="773">
        <v>-35</v>
      </c>
      <c r="P47" s="773">
        <v>-31</v>
      </c>
      <c r="Q47" s="773">
        <v>-28</v>
      </c>
      <c r="R47" s="773">
        <v>-26</v>
      </c>
    </row>
    <row r="48" spans="1:18" x14ac:dyDescent="0.2">
      <c r="B48" s="2" t="s">
        <v>111</v>
      </c>
      <c r="G48" s="18" t="s">
        <v>112</v>
      </c>
      <c r="H48" s="772">
        <f>H46+H47</f>
        <v>88.143999999999863</v>
      </c>
      <c r="I48" s="772">
        <f t="shared" ref="I48:R48" si="12">I46+I47</f>
        <v>151.05300000000011</v>
      </c>
      <c r="J48" s="772">
        <f t="shared" si="12"/>
        <v>-130.34400000000011</v>
      </c>
      <c r="K48" s="772">
        <f t="shared" si="12"/>
        <v>-126.89100000000003</v>
      </c>
      <c r="L48" s="772">
        <f t="shared" si="12"/>
        <v>-258.5829999999998</v>
      </c>
      <c r="M48" s="772">
        <f t="shared" si="12"/>
        <v>-104</v>
      </c>
      <c r="N48" s="772">
        <f t="shared" si="12"/>
        <v>-156</v>
      </c>
      <c r="O48" s="772">
        <f t="shared" si="12"/>
        <v>-17</v>
      </c>
      <c r="P48" s="772">
        <f t="shared" si="12"/>
        <v>604</v>
      </c>
      <c r="Q48" s="772">
        <f t="shared" si="12"/>
        <v>-31</v>
      </c>
      <c r="R48" s="772">
        <f t="shared" si="12"/>
        <v>0</v>
      </c>
    </row>
    <row r="49" spans="1:19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773">
        <v>0</v>
      </c>
      <c r="I49" s="773">
        <v>0</v>
      </c>
      <c r="J49" s="773">
        <v>0</v>
      </c>
      <c r="K49" s="773">
        <v>0</v>
      </c>
      <c r="L49" s="773">
        <v>0</v>
      </c>
      <c r="M49" s="773">
        <v>0</v>
      </c>
      <c r="N49" s="773">
        <v>0</v>
      </c>
      <c r="O49" s="773">
        <v>0</v>
      </c>
      <c r="P49" s="773">
        <v>0</v>
      </c>
      <c r="Q49" s="773">
        <v>0</v>
      </c>
      <c r="R49" s="773">
        <v>0</v>
      </c>
    </row>
    <row r="50" spans="1:19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773">
        <v>0</v>
      </c>
      <c r="I50" s="773">
        <v>0</v>
      </c>
      <c r="J50" s="773">
        <v>0</v>
      </c>
      <c r="K50" s="773">
        <v>0</v>
      </c>
      <c r="L50" s="773">
        <v>0</v>
      </c>
      <c r="M50" s="773">
        <v>0</v>
      </c>
      <c r="N50" s="773">
        <v>0</v>
      </c>
      <c r="O50" s="773">
        <v>0</v>
      </c>
      <c r="P50" s="773">
        <v>0</v>
      </c>
      <c r="Q50" s="773">
        <v>0</v>
      </c>
      <c r="R50" s="773">
        <v>0</v>
      </c>
    </row>
    <row r="51" spans="1:19" x14ac:dyDescent="0.2">
      <c r="B51" s="2" t="s">
        <v>117</v>
      </c>
      <c r="G51" s="18" t="s">
        <v>118</v>
      </c>
      <c r="H51" s="772">
        <f>H48+H49+H50</f>
        <v>88.143999999999863</v>
      </c>
      <c r="I51" s="772">
        <f t="shared" ref="I51:R51" si="13">I48+I49+I50</f>
        <v>151.05300000000011</v>
      </c>
      <c r="J51" s="772">
        <f t="shared" si="13"/>
        <v>-130.34400000000011</v>
      </c>
      <c r="K51" s="772">
        <f t="shared" si="13"/>
        <v>-126.89100000000003</v>
      </c>
      <c r="L51" s="772">
        <f t="shared" si="13"/>
        <v>-258.5829999999998</v>
      </c>
      <c r="M51" s="772">
        <f t="shared" si="13"/>
        <v>-104</v>
      </c>
      <c r="N51" s="772">
        <f t="shared" si="13"/>
        <v>-156</v>
      </c>
      <c r="O51" s="772">
        <f t="shared" si="13"/>
        <v>-17</v>
      </c>
      <c r="P51" s="772">
        <f t="shared" si="13"/>
        <v>604</v>
      </c>
      <c r="Q51" s="772">
        <f t="shared" si="13"/>
        <v>-31</v>
      </c>
      <c r="R51" s="772">
        <f t="shared" si="13"/>
        <v>0</v>
      </c>
    </row>
    <row r="52" spans="1:19" x14ac:dyDescent="0.2">
      <c r="A52" s="43"/>
      <c r="C52" s="44"/>
      <c r="D52" s="44"/>
      <c r="E52" s="45"/>
      <c r="F52" s="43"/>
      <c r="G52" s="181" t="s">
        <v>119</v>
      </c>
      <c r="H52" s="776">
        <f>H30-H51</f>
        <v>1.4210854715202004E-13</v>
      </c>
      <c r="I52" s="776">
        <f t="shared" ref="I52:R52" si="14">I30-I51</f>
        <v>9.9999999989108801E-4</v>
      </c>
      <c r="J52" s="776">
        <f t="shared" si="14"/>
        <v>0</v>
      </c>
      <c r="K52" s="776">
        <f t="shared" si="14"/>
        <v>1.0000000000331966E-3</v>
      </c>
      <c r="L52" s="776">
        <f t="shared" si="14"/>
        <v>9.9999999980582288E-4</v>
      </c>
      <c r="M52" s="776">
        <f t="shared" si="14"/>
        <v>0</v>
      </c>
      <c r="N52" s="776">
        <f t="shared" si="14"/>
        <v>0</v>
      </c>
      <c r="O52" s="776">
        <f t="shared" si="14"/>
        <v>0</v>
      </c>
      <c r="P52" s="776">
        <f t="shared" si="14"/>
        <v>0</v>
      </c>
      <c r="Q52" s="776">
        <f t="shared" si="14"/>
        <v>0</v>
      </c>
      <c r="R52" s="776">
        <f t="shared" si="14"/>
        <v>0</v>
      </c>
    </row>
    <row r="53" spans="1:19" x14ac:dyDescent="0.2">
      <c r="G53" s="46" t="s">
        <v>120</v>
      </c>
    </row>
    <row r="54" spans="1:19" ht="12" x14ac:dyDescent="0.2">
      <c r="C54" s="19">
        <v>90</v>
      </c>
      <c r="E54" s="20" t="s">
        <v>14</v>
      </c>
      <c r="G54" s="46" t="s">
        <v>121</v>
      </c>
      <c r="H54" s="773">
        <v>96</v>
      </c>
      <c r="I54" s="773">
        <v>92</v>
      </c>
      <c r="J54" s="773">
        <v>100</v>
      </c>
      <c r="K54" s="773">
        <v>95</v>
      </c>
      <c r="L54" s="773">
        <v>93</v>
      </c>
      <c r="M54" s="773">
        <v>0</v>
      </c>
      <c r="N54" s="773">
        <v>0</v>
      </c>
      <c r="O54" s="773">
        <v>0</v>
      </c>
      <c r="P54" s="773">
        <v>0</v>
      </c>
      <c r="Q54" s="773">
        <v>0</v>
      </c>
      <c r="R54" s="773">
        <v>0</v>
      </c>
    </row>
    <row r="55" spans="1:19" ht="12" x14ac:dyDescent="0.2">
      <c r="E55" s="20" t="s">
        <v>14</v>
      </c>
      <c r="G55" s="46" t="s">
        <v>122</v>
      </c>
      <c r="H55" s="773"/>
      <c r="I55" s="773"/>
      <c r="J55" s="773"/>
      <c r="K55" s="773"/>
      <c r="L55" s="778"/>
      <c r="M55" s="778"/>
      <c r="N55" s="778"/>
      <c r="O55" s="778"/>
      <c r="P55" s="778"/>
      <c r="Q55" s="778"/>
      <c r="R55" s="778"/>
    </row>
    <row r="56" spans="1:19" x14ac:dyDescent="0.2">
      <c r="S56" s="779"/>
    </row>
    <row r="57" spans="1:19" x14ac:dyDescent="0.2">
      <c r="D57" s="49" t="s">
        <v>123</v>
      </c>
      <c r="E57" s="50" t="s">
        <v>3</v>
      </c>
      <c r="F57" s="17"/>
      <c r="G57" s="769" t="s">
        <v>124</v>
      </c>
      <c r="H57" s="777">
        <f>H32</f>
        <v>2011</v>
      </c>
      <c r="I57" s="777">
        <f t="shared" ref="I57:R57" si="15">I32</f>
        <v>2012</v>
      </c>
      <c r="J57" s="777">
        <f t="shared" si="15"/>
        <v>2013</v>
      </c>
      <c r="K57" s="777">
        <f t="shared" si="15"/>
        <v>2014</v>
      </c>
      <c r="L57" s="777">
        <f t="shared" si="15"/>
        <v>2015</v>
      </c>
      <c r="M57" s="777">
        <f t="shared" si="15"/>
        <v>2016</v>
      </c>
      <c r="N57" s="777">
        <f t="shared" si="15"/>
        <v>2017</v>
      </c>
      <c r="O57" s="777">
        <f t="shared" si="15"/>
        <v>2018</v>
      </c>
      <c r="P57" s="777">
        <f t="shared" si="15"/>
        <v>2019</v>
      </c>
      <c r="Q57" s="777">
        <f t="shared" si="15"/>
        <v>2020</v>
      </c>
      <c r="R57" s="777">
        <f t="shared" si="15"/>
        <v>2021</v>
      </c>
      <c r="S57" s="780"/>
    </row>
    <row r="58" spans="1:19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771" t="s">
        <v>128</v>
      </c>
      <c r="H58" s="773">
        <v>55.593000000000004</v>
      </c>
      <c r="I58" s="773">
        <v>-8.1880000000000006</v>
      </c>
      <c r="J58" s="773">
        <v>-8.0660000000000007</v>
      </c>
      <c r="K58" s="773">
        <v>-3.0619999999999998</v>
      </c>
      <c r="L58" s="773">
        <v>-22.829000000000001</v>
      </c>
      <c r="M58" s="773">
        <v>-41</v>
      </c>
      <c r="N58" s="773">
        <v>-15</v>
      </c>
      <c r="O58" s="773">
        <v>-27</v>
      </c>
      <c r="P58" s="773">
        <v>-685</v>
      </c>
      <c r="Q58" s="773">
        <v>0</v>
      </c>
      <c r="R58" s="773">
        <v>0</v>
      </c>
      <c r="S58" s="780"/>
    </row>
    <row r="59" spans="1:19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773">
        <v>0</v>
      </c>
      <c r="I59" s="773">
        <v>0</v>
      </c>
      <c r="J59" s="773">
        <v>0</v>
      </c>
      <c r="K59" s="773">
        <v>0</v>
      </c>
      <c r="L59" s="773">
        <v>0</v>
      </c>
      <c r="M59" s="773">
        <v>0</v>
      </c>
      <c r="N59" s="773">
        <v>0</v>
      </c>
      <c r="O59" s="773">
        <v>0</v>
      </c>
      <c r="P59" s="773">
        <v>0</v>
      </c>
      <c r="Q59" s="773">
        <v>0</v>
      </c>
      <c r="R59" s="773">
        <v>0</v>
      </c>
    </row>
    <row r="60" spans="1:19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773">
        <v>303.27600000000001</v>
      </c>
      <c r="I60" s="773">
        <v>288.27600000000001</v>
      </c>
      <c r="J60" s="773">
        <v>305.887</v>
      </c>
      <c r="K60" s="773">
        <v>335.89800000000002</v>
      </c>
      <c r="L60" s="773">
        <v>341.04300000000001</v>
      </c>
      <c r="M60" s="773">
        <v>385</v>
      </c>
      <c r="N60" s="773">
        <v>360</v>
      </c>
      <c r="O60" s="773">
        <v>368</v>
      </c>
      <c r="P60" s="773">
        <v>1058</v>
      </c>
      <c r="Q60" s="773">
        <v>377</v>
      </c>
      <c r="R60" s="773">
        <v>382</v>
      </c>
    </row>
    <row r="61" spans="1:19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773">
        <v>0</v>
      </c>
      <c r="I61" s="773">
        <v>0</v>
      </c>
      <c r="J61" s="773">
        <v>0</v>
      </c>
      <c r="K61" s="773">
        <v>0</v>
      </c>
      <c r="L61" s="773">
        <v>0</v>
      </c>
      <c r="M61" s="773">
        <v>0</v>
      </c>
      <c r="N61" s="773">
        <v>0</v>
      </c>
      <c r="O61" s="773">
        <v>0</v>
      </c>
      <c r="P61" s="773"/>
      <c r="Q61" s="773">
        <v>0</v>
      </c>
      <c r="R61" s="773">
        <v>0</v>
      </c>
    </row>
    <row r="62" spans="1:19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773">
        <v>0</v>
      </c>
      <c r="I62" s="773">
        <v>0</v>
      </c>
      <c r="J62" s="773">
        <v>0</v>
      </c>
      <c r="K62" s="773">
        <v>0</v>
      </c>
      <c r="L62" s="773">
        <v>0</v>
      </c>
      <c r="M62" s="773">
        <v>0</v>
      </c>
      <c r="N62" s="773">
        <v>0</v>
      </c>
      <c r="O62" s="773">
        <v>0</v>
      </c>
      <c r="P62" s="773">
        <v>0</v>
      </c>
      <c r="Q62" s="773">
        <v>0</v>
      </c>
      <c r="R62" s="773">
        <v>0</v>
      </c>
    </row>
    <row r="63" spans="1:19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773">
        <v>0</v>
      </c>
      <c r="I63" s="773">
        <v>0</v>
      </c>
      <c r="J63" s="773">
        <v>0</v>
      </c>
      <c r="K63" s="773">
        <v>0</v>
      </c>
      <c r="L63" s="773">
        <v>0</v>
      </c>
      <c r="M63" s="773">
        <v>0</v>
      </c>
      <c r="N63" s="773">
        <v>0</v>
      </c>
      <c r="O63" s="773">
        <v>0</v>
      </c>
      <c r="P63" s="773">
        <v>0</v>
      </c>
      <c r="Q63" s="773">
        <v>0</v>
      </c>
      <c r="R63" s="773">
        <v>0</v>
      </c>
    </row>
    <row r="64" spans="1:19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773">
        <v>0</v>
      </c>
      <c r="I64" s="773">
        <v>0</v>
      </c>
      <c r="J64" s="773">
        <v>0</v>
      </c>
      <c r="K64" s="773">
        <v>0</v>
      </c>
      <c r="L64" s="773">
        <v>0</v>
      </c>
      <c r="M64" s="773">
        <v>0</v>
      </c>
      <c r="N64" s="773">
        <v>0</v>
      </c>
      <c r="O64" s="773">
        <v>0</v>
      </c>
      <c r="P64" s="773">
        <v>0</v>
      </c>
      <c r="Q64" s="773">
        <v>0</v>
      </c>
      <c r="R64" s="773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773">
        <v>0</v>
      </c>
      <c r="I65" s="773">
        <v>0</v>
      </c>
      <c r="J65" s="773">
        <v>0</v>
      </c>
      <c r="K65" s="773">
        <v>0</v>
      </c>
      <c r="L65" s="773">
        <v>0</v>
      </c>
      <c r="M65" s="773">
        <v>0</v>
      </c>
      <c r="N65" s="773">
        <v>0</v>
      </c>
      <c r="O65" s="773">
        <v>0</v>
      </c>
      <c r="P65" s="773">
        <v>0</v>
      </c>
      <c r="Q65" s="773">
        <v>0</v>
      </c>
      <c r="R65" s="773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773">
        <v>0</v>
      </c>
      <c r="I66" s="773">
        <v>0</v>
      </c>
      <c r="J66" s="773">
        <v>0</v>
      </c>
      <c r="K66" s="773">
        <v>0</v>
      </c>
      <c r="L66" s="773">
        <v>0</v>
      </c>
      <c r="M66" s="773">
        <v>0</v>
      </c>
      <c r="N66" s="773">
        <v>0</v>
      </c>
      <c r="O66" s="773">
        <v>0</v>
      </c>
      <c r="P66" s="773">
        <v>0</v>
      </c>
      <c r="Q66" s="773">
        <v>0</v>
      </c>
      <c r="R66" s="773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773">
        <v>0</v>
      </c>
      <c r="I67" s="773">
        <v>0</v>
      </c>
      <c r="J67" s="773">
        <v>0</v>
      </c>
      <c r="K67" s="773">
        <v>0</v>
      </c>
      <c r="L67" s="773">
        <v>0</v>
      </c>
      <c r="M67" s="773">
        <v>0</v>
      </c>
      <c r="N67" s="773">
        <v>0</v>
      </c>
      <c r="O67" s="773">
        <v>0</v>
      </c>
      <c r="P67" s="773">
        <v>0</v>
      </c>
      <c r="Q67" s="773">
        <v>0</v>
      </c>
      <c r="R67" s="773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773">
        <v>0</v>
      </c>
      <c r="I68" s="773">
        <v>0</v>
      </c>
      <c r="J68" s="773">
        <v>0</v>
      </c>
      <c r="K68" s="773">
        <v>0</v>
      </c>
      <c r="L68" s="773">
        <v>0</v>
      </c>
      <c r="M68" s="773">
        <v>0</v>
      </c>
      <c r="N68" s="773">
        <v>0</v>
      </c>
      <c r="O68" s="773">
        <v>0</v>
      </c>
      <c r="P68" s="773">
        <v>0</v>
      </c>
      <c r="Q68" s="773">
        <v>0</v>
      </c>
      <c r="R68" s="773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773">
        <v>0</v>
      </c>
      <c r="I69" s="773">
        <v>0</v>
      </c>
      <c r="J69" s="773">
        <v>0</v>
      </c>
      <c r="K69" s="773">
        <v>0</v>
      </c>
      <c r="L69" s="773">
        <v>0</v>
      </c>
      <c r="M69" s="773">
        <v>0</v>
      </c>
      <c r="N69" s="773">
        <v>0</v>
      </c>
      <c r="O69" s="773">
        <v>0</v>
      </c>
      <c r="P69" s="773">
        <v>0</v>
      </c>
      <c r="Q69" s="773">
        <v>0</v>
      </c>
      <c r="R69" s="773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773">
        <v>0.125</v>
      </c>
      <c r="I70" s="773">
        <v>0.13500000000000001</v>
      </c>
      <c r="J70" s="773">
        <v>0</v>
      </c>
      <c r="K70" s="773">
        <v>0</v>
      </c>
      <c r="L70" s="773">
        <v>0</v>
      </c>
      <c r="M70" s="773">
        <v>0</v>
      </c>
      <c r="N70" s="773">
        <v>3.5000000000000003E-2</v>
      </c>
      <c r="O70" s="773">
        <v>3.5000000000000003E-2</v>
      </c>
      <c r="P70" s="773">
        <v>3.5000000000000003E-2</v>
      </c>
      <c r="Q70" s="773">
        <v>0</v>
      </c>
      <c r="R70" s="773">
        <v>0</v>
      </c>
    </row>
    <row r="71" spans="2:18" x14ac:dyDescent="0.2">
      <c r="B71" s="51" t="s">
        <v>162</v>
      </c>
      <c r="D71" s="16"/>
      <c r="E71" s="22"/>
      <c r="F71" s="22"/>
      <c r="G71" s="781" t="s">
        <v>163</v>
      </c>
      <c r="H71" s="772">
        <f t="shared" ref="H71:R71" si="16">SUM(H58:H70)</f>
        <v>358.99400000000003</v>
      </c>
      <c r="I71" s="772">
        <f t="shared" si="16"/>
        <v>280.22300000000001</v>
      </c>
      <c r="J71" s="772">
        <f t="shared" si="16"/>
        <v>297.82100000000003</v>
      </c>
      <c r="K71" s="772">
        <f t="shared" si="16"/>
        <v>332.83600000000001</v>
      </c>
      <c r="L71" s="772">
        <f t="shared" si="16"/>
        <v>318.214</v>
      </c>
      <c r="M71" s="772">
        <f t="shared" si="16"/>
        <v>344</v>
      </c>
      <c r="N71" s="772">
        <f t="shared" si="16"/>
        <v>345.03500000000003</v>
      </c>
      <c r="O71" s="772">
        <f t="shared" si="16"/>
        <v>341.03500000000003</v>
      </c>
      <c r="P71" s="772">
        <f t="shared" si="16"/>
        <v>373.03500000000003</v>
      </c>
      <c r="Q71" s="772">
        <f t="shared" si="16"/>
        <v>377</v>
      </c>
      <c r="R71" s="772">
        <f t="shared" si="16"/>
        <v>382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769" t="s">
        <v>164</v>
      </c>
      <c r="H73" s="777">
        <f t="shared" ref="H73:R73" si="17">H57</f>
        <v>2011</v>
      </c>
      <c r="I73" s="777">
        <f t="shared" si="17"/>
        <v>2012</v>
      </c>
      <c r="J73" s="777">
        <f t="shared" si="17"/>
        <v>2013</v>
      </c>
      <c r="K73" s="777">
        <f t="shared" si="17"/>
        <v>2014</v>
      </c>
      <c r="L73" s="777">
        <f t="shared" si="17"/>
        <v>2015</v>
      </c>
      <c r="M73" s="777">
        <f t="shared" si="17"/>
        <v>2016</v>
      </c>
      <c r="N73" s="777">
        <f t="shared" si="17"/>
        <v>2017</v>
      </c>
      <c r="O73" s="777">
        <f t="shared" si="17"/>
        <v>2018</v>
      </c>
      <c r="P73" s="777">
        <f t="shared" si="17"/>
        <v>2019</v>
      </c>
      <c r="Q73" s="777">
        <f t="shared" si="17"/>
        <v>2020</v>
      </c>
      <c r="R73" s="777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771" t="s">
        <v>167</v>
      </c>
      <c r="H74" s="773">
        <v>0</v>
      </c>
      <c r="I74" s="773">
        <v>0</v>
      </c>
      <c r="J74" s="773">
        <v>0</v>
      </c>
      <c r="K74" s="773">
        <v>0</v>
      </c>
      <c r="L74" s="773">
        <v>0</v>
      </c>
      <c r="M74" s="773">
        <v>0</v>
      </c>
      <c r="N74" s="773">
        <v>0</v>
      </c>
      <c r="O74" s="773">
        <v>0</v>
      </c>
      <c r="P74" s="773">
        <v>0</v>
      </c>
      <c r="Q74" s="773">
        <v>0</v>
      </c>
      <c r="R74" s="773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773">
        <v>0</v>
      </c>
      <c r="I75" s="773">
        <v>0</v>
      </c>
      <c r="J75" s="773">
        <v>0</v>
      </c>
      <c r="K75" s="773">
        <v>0</v>
      </c>
      <c r="L75" s="773">
        <v>0</v>
      </c>
      <c r="M75" s="773">
        <v>0</v>
      </c>
      <c r="N75" s="773">
        <v>0</v>
      </c>
      <c r="O75" s="773">
        <v>0</v>
      </c>
      <c r="P75" s="773">
        <v>0</v>
      </c>
      <c r="Q75" s="773">
        <v>0</v>
      </c>
      <c r="R75" s="773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773">
        <v>0</v>
      </c>
      <c r="I76" s="773">
        <v>0</v>
      </c>
      <c r="J76" s="773">
        <v>0</v>
      </c>
      <c r="K76" s="773">
        <v>0</v>
      </c>
      <c r="L76" s="773">
        <v>0</v>
      </c>
      <c r="M76" s="773">
        <v>0</v>
      </c>
      <c r="N76" s="773">
        <v>0</v>
      </c>
      <c r="O76" s="773">
        <v>0</v>
      </c>
      <c r="P76" s="773">
        <v>0</v>
      </c>
      <c r="Q76" s="773">
        <v>0</v>
      </c>
      <c r="R76" s="773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773">
        <v>-303.27600000000001</v>
      </c>
      <c r="I77" s="773">
        <f>-295.715-153.388</f>
        <v>-449.10299999999995</v>
      </c>
      <c r="J77" s="773">
        <f>-298.448+0.259</f>
        <v>-298.18899999999996</v>
      </c>
      <c r="K77" s="773">
        <f>-335.898-0.259</f>
        <v>-336.15700000000004</v>
      </c>
      <c r="L77" s="773">
        <v>-338.86</v>
      </c>
      <c r="M77" s="773">
        <v>-351</v>
      </c>
      <c r="N77" s="773">
        <v>-360</v>
      </c>
      <c r="O77" s="773">
        <v>-368</v>
      </c>
      <c r="P77" s="773">
        <v>-373</v>
      </c>
      <c r="Q77" s="773">
        <v>-377</v>
      </c>
      <c r="R77" s="773">
        <v>-382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773">
        <v>0</v>
      </c>
      <c r="I78" s="773">
        <v>0</v>
      </c>
      <c r="J78" s="773">
        <v>0</v>
      </c>
      <c r="K78" s="773">
        <v>0</v>
      </c>
      <c r="L78" s="773">
        <v>0</v>
      </c>
      <c r="M78" s="773">
        <v>0</v>
      </c>
      <c r="N78" s="773">
        <v>-7</v>
      </c>
      <c r="O78" s="773">
        <v>-7</v>
      </c>
      <c r="P78" s="773">
        <v>-7</v>
      </c>
      <c r="Q78" s="773">
        <v>-7</v>
      </c>
      <c r="R78" s="773">
        <v>-7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773">
        <f>-146.491-0.47</f>
        <v>-146.96100000000001</v>
      </c>
      <c r="I79" s="773">
        <v>-160.32300000000001</v>
      </c>
      <c r="J79" s="773">
        <v>-120.84399999999999</v>
      </c>
      <c r="K79" s="773">
        <v>-82.402000000000001</v>
      </c>
      <c r="L79" s="773">
        <v>-76.715999999999994</v>
      </c>
      <c r="M79" s="773">
        <v>-60</v>
      </c>
      <c r="N79" s="773">
        <v>-49</v>
      </c>
      <c r="O79" s="773">
        <v>-40</v>
      </c>
      <c r="P79" s="773">
        <v>-35</v>
      </c>
      <c r="Q79" s="773">
        <v>-31</v>
      </c>
      <c r="R79" s="773">
        <v>-26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773">
        <v>0</v>
      </c>
      <c r="I80" s="773">
        <v>0</v>
      </c>
      <c r="J80" s="773">
        <v>0</v>
      </c>
      <c r="K80" s="773">
        <v>0</v>
      </c>
      <c r="L80" s="773">
        <v>0</v>
      </c>
      <c r="M80" s="773">
        <v>0</v>
      </c>
      <c r="N80" s="773">
        <v>0</v>
      </c>
      <c r="O80" s="773">
        <v>0</v>
      </c>
      <c r="P80" s="773">
        <v>0</v>
      </c>
      <c r="Q80" s="773">
        <v>0</v>
      </c>
      <c r="R80" s="773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773">
        <v>0</v>
      </c>
      <c r="I81" s="773">
        <v>0</v>
      </c>
      <c r="J81" s="773">
        <v>0</v>
      </c>
      <c r="K81" s="773">
        <v>0</v>
      </c>
      <c r="L81" s="773">
        <v>0</v>
      </c>
      <c r="M81" s="773">
        <v>0</v>
      </c>
      <c r="N81" s="773">
        <v>0</v>
      </c>
      <c r="O81" s="773">
        <v>0</v>
      </c>
      <c r="P81" s="773">
        <v>0</v>
      </c>
      <c r="Q81" s="773">
        <v>0</v>
      </c>
      <c r="R81" s="773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773">
        <v>0</v>
      </c>
      <c r="I82" s="773">
        <v>0</v>
      </c>
      <c r="J82" s="773">
        <v>0</v>
      </c>
      <c r="K82" s="773">
        <v>0</v>
      </c>
      <c r="L82" s="773">
        <v>0</v>
      </c>
      <c r="M82" s="773">
        <v>0</v>
      </c>
      <c r="N82" s="773">
        <v>0</v>
      </c>
      <c r="O82" s="773">
        <v>0</v>
      </c>
      <c r="P82" s="773">
        <v>0</v>
      </c>
      <c r="Q82" s="773">
        <v>0</v>
      </c>
      <c r="R82" s="773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773">
        <v>0</v>
      </c>
      <c r="I83" s="773">
        <v>0</v>
      </c>
      <c r="J83" s="773">
        <v>0</v>
      </c>
      <c r="K83" s="773">
        <v>0</v>
      </c>
      <c r="L83" s="773">
        <v>0</v>
      </c>
      <c r="M83" s="773">
        <v>0</v>
      </c>
      <c r="N83" s="773">
        <v>0</v>
      </c>
      <c r="O83" s="773">
        <v>0</v>
      </c>
      <c r="P83" s="773">
        <v>0</v>
      </c>
      <c r="Q83" s="773">
        <v>0</v>
      </c>
      <c r="R83" s="773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773">
        <v>0</v>
      </c>
      <c r="I84" s="773">
        <v>0</v>
      </c>
      <c r="J84" s="773">
        <v>0</v>
      </c>
      <c r="K84" s="773">
        <v>0</v>
      </c>
      <c r="L84" s="773">
        <v>0</v>
      </c>
      <c r="M84" s="773">
        <v>0</v>
      </c>
      <c r="N84" s="773">
        <v>0</v>
      </c>
      <c r="O84" s="773">
        <v>0</v>
      </c>
      <c r="P84" s="773">
        <v>0</v>
      </c>
      <c r="Q84" s="773">
        <v>0</v>
      </c>
      <c r="R84" s="773">
        <v>0</v>
      </c>
    </row>
    <row r="85" spans="1:18" x14ac:dyDescent="0.2">
      <c r="B85" s="2" t="s">
        <v>192</v>
      </c>
      <c r="G85" s="186" t="s">
        <v>163</v>
      </c>
      <c r="H85" s="772">
        <f t="shared" ref="H85:Q85" si="18">SUM(H74:H84)</f>
        <v>-450.23700000000002</v>
      </c>
      <c r="I85" s="772">
        <f t="shared" si="18"/>
        <v>-609.42599999999993</v>
      </c>
      <c r="J85" s="772">
        <f t="shared" si="18"/>
        <v>-419.03299999999996</v>
      </c>
      <c r="K85" s="772">
        <f t="shared" si="18"/>
        <v>-418.55900000000003</v>
      </c>
      <c r="L85" s="772">
        <f t="shared" si="18"/>
        <v>-415.57600000000002</v>
      </c>
      <c r="M85" s="772">
        <f t="shared" si="18"/>
        <v>-411</v>
      </c>
      <c r="N85" s="772">
        <f t="shared" si="18"/>
        <v>-416</v>
      </c>
      <c r="O85" s="772">
        <f t="shared" si="18"/>
        <v>-415</v>
      </c>
      <c r="P85" s="772">
        <f t="shared" si="18"/>
        <v>-415</v>
      </c>
      <c r="Q85" s="772">
        <f t="shared" si="18"/>
        <v>-415</v>
      </c>
      <c r="R85" s="772">
        <f>SUM(R74:R84)</f>
        <v>-415</v>
      </c>
    </row>
    <row r="87" spans="1:18" x14ac:dyDescent="0.2">
      <c r="A87" s="23" t="s">
        <v>0</v>
      </c>
      <c r="D87" s="1328" t="s">
        <v>193</v>
      </c>
      <c r="E87" s="1329"/>
      <c r="G87" s="769" t="s">
        <v>194</v>
      </c>
      <c r="H87" s="777">
        <f t="shared" ref="H87:R87" si="19">H32</f>
        <v>2011</v>
      </c>
      <c r="I87" s="777">
        <f t="shared" si="19"/>
        <v>2012</v>
      </c>
      <c r="J87" s="777">
        <f t="shared" si="19"/>
        <v>2013</v>
      </c>
      <c r="K87" s="777">
        <f t="shared" si="19"/>
        <v>2014</v>
      </c>
      <c r="L87" s="777">
        <f t="shared" si="19"/>
        <v>2015</v>
      </c>
      <c r="M87" s="777">
        <f t="shared" si="19"/>
        <v>2016</v>
      </c>
      <c r="N87" s="777">
        <f t="shared" si="19"/>
        <v>2017</v>
      </c>
      <c r="O87" s="777">
        <f t="shared" si="19"/>
        <v>2018</v>
      </c>
      <c r="P87" s="777">
        <f t="shared" si="19"/>
        <v>2019</v>
      </c>
      <c r="Q87" s="777">
        <f t="shared" si="19"/>
        <v>2020</v>
      </c>
      <c r="R87" s="777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782"/>
      <c r="G88" s="771" t="s">
        <v>198</v>
      </c>
      <c r="H88" s="772">
        <f>H46+H71</f>
        <v>612.77899999999988</v>
      </c>
      <c r="I88" s="772">
        <f t="shared" ref="I88:R88" si="20">I46+I71</f>
        <v>562.48800000000006</v>
      </c>
      <c r="J88" s="772">
        <f t="shared" si="20"/>
        <v>250.84399999999994</v>
      </c>
      <c r="K88" s="772">
        <f t="shared" si="20"/>
        <v>284.24099999999999</v>
      </c>
      <c r="L88" s="772">
        <f t="shared" si="20"/>
        <v>121.75400000000019</v>
      </c>
      <c r="M88" s="772">
        <f t="shared" si="20"/>
        <v>289</v>
      </c>
      <c r="N88" s="772">
        <f t="shared" si="20"/>
        <v>229.03500000000003</v>
      </c>
      <c r="O88" s="772">
        <f t="shared" si="20"/>
        <v>359.03500000000003</v>
      </c>
      <c r="P88" s="772">
        <f t="shared" si="20"/>
        <v>1008.0350000000001</v>
      </c>
      <c r="Q88" s="772">
        <f t="shared" si="20"/>
        <v>374</v>
      </c>
      <c r="R88" s="772">
        <f t="shared" si="20"/>
        <v>408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782"/>
      <c r="G89" s="771" t="s">
        <v>202</v>
      </c>
      <c r="H89" s="783">
        <f t="shared" ref="H89:R89" si="21">H33+H38+H41-H45</f>
        <v>516.10599999999988</v>
      </c>
      <c r="I89" s="772">
        <f t="shared" si="21"/>
        <v>444.8010000000001</v>
      </c>
      <c r="J89" s="772">
        <f t="shared" si="21"/>
        <v>125.87299999999991</v>
      </c>
      <c r="K89" s="772">
        <f t="shared" si="21"/>
        <v>123.93499999999997</v>
      </c>
      <c r="L89" s="772">
        <f t="shared" si="21"/>
        <v>-24.749999999999801</v>
      </c>
      <c r="M89" s="772">
        <f t="shared" si="21"/>
        <v>120</v>
      </c>
      <c r="N89" s="772">
        <f t="shared" si="21"/>
        <v>64</v>
      </c>
      <c r="O89" s="772">
        <f t="shared" si="21"/>
        <v>205</v>
      </c>
      <c r="P89" s="772">
        <f t="shared" si="21"/>
        <v>817</v>
      </c>
      <c r="Q89" s="772">
        <f t="shared" si="21"/>
        <v>197</v>
      </c>
      <c r="R89" s="772">
        <f t="shared" si="21"/>
        <v>223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784">
        <v>0</v>
      </c>
      <c r="G90" s="186" t="s">
        <v>206</v>
      </c>
      <c r="H90" s="785">
        <f t="shared" ref="H90:R90" si="22">H89/H33</f>
        <v>0.26582355413445841</v>
      </c>
      <c r="I90" s="786">
        <f t="shared" si="22"/>
        <v>0.21638552341292913</v>
      </c>
      <c r="J90" s="786">
        <f t="shared" si="22"/>
        <v>6.6296227046130224E-2</v>
      </c>
      <c r="K90" s="786">
        <f t="shared" si="22"/>
        <v>6.2258308559280391E-2</v>
      </c>
      <c r="L90" s="786">
        <f t="shared" si="22"/>
        <v>-1.2653930592040244E-2</v>
      </c>
      <c r="M90" s="786">
        <f t="shared" si="22"/>
        <v>5.3787539220080678E-2</v>
      </c>
      <c r="N90" s="786">
        <f t="shared" si="22"/>
        <v>2.7268853855986364E-2</v>
      </c>
      <c r="O90" s="786">
        <f t="shared" si="22"/>
        <v>7.9735511474134574E-2</v>
      </c>
      <c r="P90" s="786">
        <f t="shared" si="22"/>
        <v>0.25659547738693467</v>
      </c>
      <c r="Q90" s="786">
        <f t="shared" si="22"/>
        <v>7.719435736677116E-2</v>
      </c>
      <c r="R90" s="786">
        <f t="shared" si="22"/>
        <v>8.6434108527131778E-2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782"/>
      <c r="G91" s="18" t="s">
        <v>210</v>
      </c>
      <c r="H91" s="787">
        <f t="shared" ref="H91:R91" si="23">-H33/(H38+H41)</f>
        <v>1.1503687451525728</v>
      </c>
      <c r="I91" s="787">
        <f t="shared" si="23"/>
        <v>1.15917229167724</v>
      </c>
      <c r="J91" s="787">
        <f t="shared" si="23"/>
        <v>0.97585502219855647</v>
      </c>
      <c r="K91" s="787">
        <f t="shared" si="23"/>
        <v>0.97617019565497753</v>
      </c>
      <c r="L91" s="787">
        <f t="shared" si="23"/>
        <v>0.90872404145376229</v>
      </c>
      <c r="M91" s="787">
        <f t="shared" si="23"/>
        <v>0.97594050743657046</v>
      </c>
      <c r="N91" s="787">
        <f t="shared" si="23"/>
        <v>0.95290296386520501</v>
      </c>
      <c r="O91" s="787">
        <f t="shared" si="23"/>
        <v>1.0070505287896592</v>
      </c>
      <c r="P91" s="787">
        <f t="shared" si="23"/>
        <v>1.2491173009023147</v>
      </c>
      <c r="Q91" s="787">
        <f t="shared" si="23"/>
        <v>0.99882583170254402</v>
      </c>
      <c r="R91" s="787">
        <f t="shared" si="23"/>
        <v>1.0101801096319498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782"/>
      <c r="G92" s="771" t="s">
        <v>214</v>
      </c>
      <c r="H92" s="783">
        <f>H46</f>
        <v>253.78499999999985</v>
      </c>
      <c r="I92" s="783">
        <f t="shared" ref="I92:R92" si="24">I46</f>
        <v>282.2650000000001</v>
      </c>
      <c r="J92" s="783">
        <f t="shared" si="24"/>
        <v>-46.977000000000089</v>
      </c>
      <c r="K92" s="783">
        <f t="shared" si="24"/>
        <v>-48.595000000000027</v>
      </c>
      <c r="L92" s="783">
        <f t="shared" si="24"/>
        <v>-196.45999999999981</v>
      </c>
      <c r="M92" s="783">
        <f t="shared" si="24"/>
        <v>-55</v>
      </c>
      <c r="N92" s="783">
        <f t="shared" si="24"/>
        <v>-116</v>
      </c>
      <c r="O92" s="783">
        <f t="shared" si="24"/>
        <v>18</v>
      </c>
      <c r="P92" s="783">
        <f t="shared" si="24"/>
        <v>635</v>
      </c>
      <c r="Q92" s="783">
        <f t="shared" si="24"/>
        <v>-3</v>
      </c>
      <c r="R92" s="783">
        <f t="shared" si="24"/>
        <v>26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784">
        <v>-0.3</v>
      </c>
      <c r="E93" s="784">
        <v>0</v>
      </c>
      <c r="G93" s="18" t="s">
        <v>218</v>
      </c>
      <c r="H93" s="788">
        <f>H46/H33</f>
        <v>0.13071351754487162</v>
      </c>
      <c r="I93" s="789">
        <f t="shared" ref="I93:R93" si="25">I46/I33</f>
        <v>0.13731547313551554</v>
      </c>
      <c r="J93" s="789">
        <f t="shared" si="25"/>
        <v>-2.4742382067211136E-2</v>
      </c>
      <c r="K93" s="789">
        <f t="shared" si="25"/>
        <v>-2.4411526239062675E-2</v>
      </c>
      <c r="L93" s="789">
        <f t="shared" si="25"/>
        <v>-0.10044408905504015</v>
      </c>
      <c r="M93" s="789">
        <f t="shared" si="25"/>
        <v>-2.4652622142536978E-2</v>
      </c>
      <c r="N93" s="789">
        <f t="shared" si="25"/>
        <v>-4.9424797613975287E-2</v>
      </c>
      <c r="O93" s="789">
        <f t="shared" si="25"/>
        <v>7.0011668611435242E-3</v>
      </c>
      <c r="P93" s="789">
        <f t="shared" si="25"/>
        <v>0.19943467336683418</v>
      </c>
      <c r="Q93" s="789">
        <f t="shared" si="25"/>
        <v>-1.1755485893416929E-3</v>
      </c>
      <c r="R93" s="789">
        <f t="shared" si="25"/>
        <v>1.0077519379844961E-2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782"/>
      <c r="G94" s="186" t="s">
        <v>222</v>
      </c>
      <c r="H94" s="783">
        <f>H29+H30</f>
        <v>4168.6840000000002</v>
      </c>
      <c r="I94" s="783">
        <f t="shared" ref="I94:R94" si="26">I29+I30</f>
        <v>4319.7380000000003</v>
      </c>
      <c r="J94" s="783">
        <f t="shared" si="26"/>
        <v>4189.3940000000002</v>
      </c>
      <c r="K94" s="783">
        <f t="shared" si="26"/>
        <v>4062.5040000000004</v>
      </c>
      <c r="L94" s="783">
        <f t="shared" si="26"/>
        <v>3803.9220000000005</v>
      </c>
      <c r="M94" s="783">
        <f t="shared" si="26"/>
        <v>3699</v>
      </c>
      <c r="N94" s="783">
        <f t="shared" si="26"/>
        <v>3543</v>
      </c>
      <c r="O94" s="783">
        <f t="shared" si="26"/>
        <v>3526</v>
      </c>
      <c r="P94" s="783">
        <f t="shared" si="26"/>
        <v>4130</v>
      </c>
      <c r="Q94" s="783">
        <f t="shared" si="26"/>
        <v>4099</v>
      </c>
      <c r="R94" s="783">
        <f t="shared" si="26"/>
        <v>4099</v>
      </c>
    </row>
    <row r="95" spans="1:18" x14ac:dyDescent="0.2">
      <c r="G95" s="68" t="s">
        <v>223</v>
      </c>
      <c r="H95" s="777">
        <f t="shared" ref="H95:R95" si="27">H87</f>
        <v>2011</v>
      </c>
      <c r="I95" s="777">
        <f t="shared" si="27"/>
        <v>2012</v>
      </c>
      <c r="J95" s="777">
        <f t="shared" si="27"/>
        <v>2013</v>
      </c>
      <c r="K95" s="777">
        <f t="shared" si="27"/>
        <v>2014</v>
      </c>
      <c r="L95" s="777">
        <f t="shared" si="27"/>
        <v>2015</v>
      </c>
      <c r="M95" s="777">
        <f t="shared" si="27"/>
        <v>2016</v>
      </c>
      <c r="N95" s="777">
        <f t="shared" si="27"/>
        <v>2017</v>
      </c>
      <c r="O95" s="777">
        <f t="shared" si="27"/>
        <v>2018</v>
      </c>
      <c r="P95" s="777">
        <f t="shared" si="27"/>
        <v>2019</v>
      </c>
      <c r="Q95" s="777">
        <f t="shared" si="27"/>
        <v>2020</v>
      </c>
      <c r="R95" s="777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782"/>
      <c r="F96" s="69"/>
      <c r="G96" s="771" t="s">
        <v>227</v>
      </c>
      <c r="H96" s="783">
        <f t="shared" ref="H96:R96" si="28">H6+H12</f>
        <v>24.224</v>
      </c>
      <c r="I96" s="772">
        <f t="shared" si="28"/>
        <v>4.0979999999999999</v>
      </c>
      <c r="J96" s="772">
        <f t="shared" si="28"/>
        <v>3.3559999999999999</v>
      </c>
      <c r="K96" s="772">
        <f t="shared" si="28"/>
        <v>9.6609999999999996</v>
      </c>
      <c r="L96" s="772">
        <f t="shared" si="28"/>
        <v>4.2089999999999996</v>
      </c>
      <c r="M96" s="772">
        <f t="shared" si="28"/>
        <v>5</v>
      </c>
      <c r="N96" s="772">
        <f t="shared" si="28"/>
        <v>10</v>
      </c>
      <c r="O96" s="772">
        <f t="shared" si="28"/>
        <v>2</v>
      </c>
      <c r="P96" s="772">
        <f t="shared" si="28"/>
        <v>2</v>
      </c>
      <c r="Q96" s="772">
        <f t="shared" si="28"/>
        <v>2</v>
      </c>
      <c r="R96" s="772">
        <f t="shared" si="28"/>
        <v>2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782"/>
      <c r="F97" s="69"/>
      <c r="G97" s="18" t="s">
        <v>230</v>
      </c>
      <c r="H97" s="783">
        <f>H19</f>
        <v>5557.8630000000003</v>
      </c>
      <c r="I97" s="783">
        <f t="shared" ref="I97:R97" si="29">I19</f>
        <v>5081.84</v>
      </c>
      <c r="J97" s="783">
        <f t="shared" si="29"/>
        <v>4745.6540000000005</v>
      </c>
      <c r="K97" s="783">
        <f t="shared" si="29"/>
        <v>4370.0279999999993</v>
      </c>
      <c r="L97" s="783">
        <f t="shared" si="29"/>
        <v>4139.5259999999998</v>
      </c>
      <c r="M97" s="783">
        <f t="shared" si="29"/>
        <v>3751</v>
      </c>
      <c r="N97" s="783">
        <f t="shared" si="29"/>
        <v>3418</v>
      </c>
      <c r="O97" s="783">
        <f t="shared" si="29"/>
        <v>2887</v>
      </c>
      <c r="P97" s="783">
        <f t="shared" si="29"/>
        <v>2466</v>
      </c>
      <c r="Q97" s="783">
        <f t="shared" si="29"/>
        <v>2018</v>
      </c>
      <c r="R97" s="783">
        <f t="shared" si="29"/>
        <v>1610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782"/>
      <c r="F98" s="69"/>
      <c r="G98" s="18" t="s">
        <v>234</v>
      </c>
      <c r="H98" s="783">
        <f t="shared" ref="H98:R98" si="30">H97-H96</f>
        <v>5533.6390000000001</v>
      </c>
      <c r="I98" s="772">
        <f t="shared" si="30"/>
        <v>5077.7420000000002</v>
      </c>
      <c r="J98" s="772">
        <f t="shared" si="30"/>
        <v>4742.2980000000007</v>
      </c>
      <c r="K98" s="772">
        <f t="shared" si="30"/>
        <v>4360.3669999999993</v>
      </c>
      <c r="L98" s="772">
        <f t="shared" si="30"/>
        <v>4135.317</v>
      </c>
      <c r="M98" s="772">
        <f t="shared" si="30"/>
        <v>3746</v>
      </c>
      <c r="N98" s="772">
        <f t="shared" si="30"/>
        <v>3408</v>
      </c>
      <c r="O98" s="772">
        <f t="shared" si="30"/>
        <v>2885</v>
      </c>
      <c r="P98" s="772">
        <f t="shared" si="30"/>
        <v>2464</v>
      </c>
      <c r="Q98" s="772">
        <f t="shared" si="30"/>
        <v>2016</v>
      </c>
      <c r="R98" s="772">
        <f t="shared" si="30"/>
        <v>1608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784">
        <v>0.4</v>
      </c>
      <c r="F99" s="69"/>
      <c r="G99" s="18" t="s">
        <v>238</v>
      </c>
      <c r="H99" s="790">
        <f t="shared" ref="H99:R99" si="31">H98/H33</f>
        <v>2.8501346356699027</v>
      </c>
      <c r="I99" s="786">
        <f t="shared" si="31"/>
        <v>2.4702054636248869</v>
      </c>
      <c r="J99" s="786">
        <f t="shared" si="31"/>
        <v>2.4977275899391413</v>
      </c>
      <c r="K99" s="786">
        <f t="shared" si="31"/>
        <v>2.1904149281292917</v>
      </c>
      <c r="L99" s="786">
        <f t="shared" si="31"/>
        <v>2.1142632038013942</v>
      </c>
      <c r="M99" s="786">
        <f t="shared" si="31"/>
        <v>1.6790676826535187</v>
      </c>
      <c r="N99" s="786">
        <f t="shared" si="31"/>
        <v>1.452066467831274</v>
      </c>
      <c r="O99" s="786">
        <f t="shared" si="31"/>
        <v>1.1221314663555038</v>
      </c>
      <c r="P99" s="786">
        <f t="shared" si="31"/>
        <v>0.77386934673366836</v>
      </c>
      <c r="Q99" s="786">
        <f t="shared" si="31"/>
        <v>0.78996865203761757</v>
      </c>
      <c r="R99" s="786">
        <f t="shared" si="31"/>
        <v>0.62325581395348839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791">
        <v>0</v>
      </c>
      <c r="E100" s="791">
        <v>5</v>
      </c>
      <c r="F100" s="69"/>
      <c r="G100" s="18" t="s">
        <v>242</v>
      </c>
      <c r="H100" s="787">
        <f t="shared" ref="H100:R100" si="32">H98/H89</f>
        <v>10.721904027467229</v>
      </c>
      <c r="I100" s="787">
        <f t="shared" si="32"/>
        <v>11.415761205572826</v>
      </c>
      <c r="J100" s="787">
        <f t="shared" si="32"/>
        <v>37.675259984269893</v>
      </c>
      <c r="K100" s="787">
        <f t="shared" si="32"/>
        <v>35.182692540444592</v>
      </c>
      <c r="L100" s="787">
        <f t="shared" si="32"/>
        <v>-167.08351515151651</v>
      </c>
      <c r="M100" s="787">
        <f t="shared" si="32"/>
        <v>31.216666666666665</v>
      </c>
      <c r="N100" s="787">
        <f t="shared" si="32"/>
        <v>53.25</v>
      </c>
      <c r="O100" s="787">
        <f t="shared" si="32"/>
        <v>14.073170731707316</v>
      </c>
      <c r="P100" s="787">
        <f t="shared" si="32"/>
        <v>3.0159118727050185</v>
      </c>
      <c r="Q100" s="787">
        <f t="shared" si="32"/>
        <v>10.233502538071066</v>
      </c>
      <c r="R100" s="787">
        <f t="shared" si="32"/>
        <v>7.2107623318385654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782"/>
      <c r="F101" s="69"/>
      <c r="G101" s="18" t="s">
        <v>246</v>
      </c>
      <c r="H101" s="783">
        <f t="shared" ref="H101:R101" si="33">-(H75+H77+H78+H79+H80+H81)</f>
        <v>450.23700000000002</v>
      </c>
      <c r="I101" s="783">
        <f t="shared" si="33"/>
        <v>609.42599999999993</v>
      </c>
      <c r="J101" s="783">
        <f t="shared" si="33"/>
        <v>419.03299999999996</v>
      </c>
      <c r="K101" s="783">
        <f t="shared" si="33"/>
        <v>418.55900000000003</v>
      </c>
      <c r="L101" s="783">
        <f t="shared" si="33"/>
        <v>415.57600000000002</v>
      </c>
      <c r="M101" s="783">
        <f t="shared" si="33"/>
        <v>411</v>
      </c>
      <c r="N101" s="783">
        <f t="shared" si="33"/>
        <v>416</v>
      </c>
      <c r="O101" s="783">
        <f t="shared" si="33"/>
        <v>415</v>
      </c>
      <c r="P101" s="783">
        <f t="shared" si="33"/>
        <v>415</v>
      </c>
      <c r="Q101" s="783">
        <f t="shared" si="33"/>
        <v>415</v>
      </c>
      <c r="R101" s="783">
        <f t="shared" si="33"/>
        <v>415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791">
        <v>1.2</v>
      </c>
      <c r="F102" s="69"/>
      <c r="G102" s="18" t="s">
        <v>250</v>
      </c>
      <c r="H102" s="792">
        <f t="shared" ref="H102:R102" si="34">H89/H101</f>
        <v>1.1462985050095835</v>
      </c>
      <c r="I102" s="787">
        <f t="shared" si="34"/>
        <v>0.72986876175286275</v>
      </c>
      <c r="J102" s="787">
        <f t="shared" si="34"/>
        <v>0.30038922948789215</v>
      </c>
      <c r="K102" s="787">
        <f t="shared" si="34"/>
        <v>0.29609923571109442</v>
      </c>
      <c r="L102" s="787">
        <f t="shared" si="34"/>
        <v>-5.9555893506843031E-2</v>
      </c>
      <c r="M102" s="787">
        <f t="shared" si="34"/>
        <v>0.29197080291970801</v>
      </c>
      <c r="N102" s="787">
        <f t="shared" si="34"/>
        <v>0.15384615384615385</v>
      </c>
      <c r="O102" s="787">
        <f t="shared" si="34"/>
        <v>0.49397590361445781</v>
      </c>
      <c r="P102" s="787">
        <f t="shared" si="34"/>
        <v>1.9686746987951806</v>
      </c>
      <c r="Q102" s="787">
        <f t="shared" si="34"/>
        <v>0.47469879518072289</v>
      </c>
      <c r="R102" s="787">
        <f t="shared" si="34"/>
        <v>0.53734939759036149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791">
        <v>0</v>
      </c>
      <c r="F103" s="69"/>
      <c r="G103" s="771" t="s">
        <v>254</v>
      </c>
      <c r="H103" s="783">
        <f t="shared" ref="H103:R103" si="35">H5-H20</f>
        <v>-407.51499999999999</v>
      </c>
      <c r="I103" s="783">
        <f t="shared" si="35"/>
        <v>-265.84400000000005</v>
      </c>
      <c r="J103" s="783">
        <f t="shared" si="35"/>
        <v>-223.96699999999998</v>
      </c>
      <c r="K103" s="783">
        <f t="shared" si="35"/>
        <v>-186.49500000000006</v>
      </c>
      <c r="L103" s="783">
        <f t="shared" si="35"/>
        <v>-291.09099999999995</v>
      </c>
      <c r="M103" s="783">
        <f t="shared" si="35"/>
        <v>-256</v>
      </c>
      <c r="N103" s="783">
        <f t="shared" si="35"/>
        <v>-277</v>
      </c>
      <c r="O103" s="783">
        <f t="shared" si="35"/>
        <v>-145</v>
      </c>
      <c r="P103" s="783">
        <f t="shared" si="35"/>
        <v>114</v>
      </c>
      <c r="Q103" s="783">
        <f t="shared" si="35"/>
        <v>179</v>
      </c>
      <c r="R103" s="783">
        <f t="shared" si="35"/>
        <v>371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791">
        <v>1</v>
      </c>
      <c r="F104" s="69"/>
      <c r="G104" s="18" t="s">
        <v>258</v>
      </c>
      <c r="H104" s="792">
        <f t="shared" ref="H104:R104" si="36">H5/H20</f>
        <v>0.46931171937976218</v>
      </c>
      <c r="I104" s="792">
        <f t="shared" si="36"/>
        <v>0.56723442147125702</v>
      </c>
      <c r="J104" s="792">
        <f t="shared" si="36"/>
        <v>0.63523527534022584</v>
      </c>
      <c r="K104" s="792">
        <f t="shared" si="36"/>
        <v>0.67691835949816181</v>
      </c>
      <c r="L104" s="792">
        <f t="shared" si="36"/>
        <v>0.58296776818537377</v>
      </c>
      <c r="M104" s="792">
        <f t="shared" si="36"/>
        <v>0.61676646706586824</v>
      </c>
      <c r="N104" s="792">
        <f t="shared" si="36"/>
        <v>0.60201149425287359</v>
      </c>
      <c r="O104" s="792">
        <f t="shared" si="36"/>
        <v>0.73684210526315785</v>
      </c>
      <c r="P104" s="792">
        <f t="shared" si="36"/>
        <v>1.2864321608040201</v>
      </c>
      <c r="Q104" s="792">
        <f t="shared" si="36"/>
        <v>1.4153132250580047</v>
      </c>
      <c r="R104" s="792">
        <f t="shared" si="36"/>
        <v>1.9048780487804877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791">
        <v>1</v>
      </c>
      <c r="F105" s="69"/>
      <c r="G105" s="186" t="s">
        <v>262</v>
      </c>
      <c r="H105" s="792">
        <f t="shared" ref="H105:R105" si="37">-H6/((H38+H41-H45+H47)/12)</f>
        <v>0.18269957783153609</v>
      </c>
      <c r="I105" s="792">
        <f t="shared" si="37"/>
        <v>2.8229523893717929E-2</v>
      </c>
      <c r="J105" s="792">
        <f t="shared" si="37"/>
        <v>2.16966509512488E-2</v>
      </c>
      <c r="K105" s="792">
        <f t="shared" si="37"/>
        <v>5.9604559132841378E-2</v>
      </c>
      <c r="L105" s="792">
        <f t="shared" si="37"/>
        <v>2.4725044755033197E-2</v>
      </c>
      <c r="M105" s="792">
        <f t="shared" si="37"/>
        <v>2.7777777777777776E-2</v>
      </c>
      <c r="N105" s="792">
        <f t="shared" si="37"/>
        <v>5.165733964700818E-2</v>
      </c>
      <c r="O105" s="792">
        <f t="shared" si="37"/>
        <v>9.9958350687213652E-3</v>
      </c>
      <c r="P105" s="792">
        <f t="shared" si="37"/>
        <v>1.0008340283569641E-2</v>
      </c>
      <c r="Q105" s="792">
        <f t="shared" si="37"/>
        <v>1.0071338648762064E-2</v>
      </c>
      <c r="R105" s="792">
        <f t="shared" si="37"/>
        <v>1.0071338648762064E-2</v>
      </c>
    </row>
    <row r="106" spans="1:18" x14ac:dyDescent="0.2">
      <c r="C106" s="16"/>
      <c r="F106" s="69"/>
      <c r="G106" s="68" t="s">
        <v>263</v>
      </c>
      <c r="H106" s="777">
        <f t="shared" ref="H106:R106" si="38">H95</f>
        <v>2011</v>
      </c>
      <c r="I106" s="777">
        <f t="shared" si="38"/>
        <v>2012</v>
      </c>
      <c r="J106" s="777">
        <f t="shared" si="38"/>
        <v>2013</v>
      </c>
      <c r="K106" s="777">
        <f t="shared" si="38"/>
        <v>2014</v>
      </c>
      <c r="L106" s="777">
        <f t="shared" si="38"/>
        <v>2015</v>
      </c>
      <c r="M106" s="777">
        <f t="shared" si="38"/>
        <v>2016</v>
      </c>
      <c r="N106" s="777">
        <f t="shared" si="38"/>
        <v>2017</v>
      </c>
      <c r="O106" s="777">
        <f t="shared" si="38"/>
        <v>2018</v>
      </c>
      <c r="P106" s="777">
        <f t="shared" si="38"/>
        <v>2019</v>
      </c>
      <c r="Q106" s="777">
        <f t="shared" si="38"/>
        <v>2020</v>
      </c>
      <c r="R106" s="777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784">
        <v>0.6</v>
      </c>
      <c r="F107" s="69"/>
      <c r="G107" s="771" t="s">
        <v>267</v>
      </c>
      <c r="H107" s="790">
        <f t="shared" ref="H107:R107" si="39">H17/H4</f>
        <v>0</v>
      </c>
      <c r="I107" s="790">
        <f t="shared" si="39"/>
        <v>0</v>
      </c>
      <c r="J107" s="790">
        <f t="shared" si="39"/>
        <v>0</v>
      </c>
      <c r="K107" s="790">
        <f t="shared" si="39"/>
        <v>0</v>
      </c>
      <c r="L107" s="790">
        <f t="shared" si="39"/>
        <v>0</v>
      </c>
      <c r="M107" s="790">
        <f t="shared" si="39"/>
        <v>0</v>
      </c>
      <c r="N107" s="790">
        <f t="shared" si="39"/>
        <v>0</v>
      </c>
      <c r="O107" s="790">
        <f t="shared" si="39"/>
        <v>0</v>
      </c>
      <c r="P107" s="790">
        <f t="shared" si="39"/>
        <v>0</v>
      </c>
      <c r="Q107" s="790">
        <f t="shared" si="39"/>
        <v>0</v>
      </c>
      <c r="R107" s="790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784">
        <v>0.4</v>
      </c>
      <c r="F108" s="69"/>
      <c r="G108" s="186" t="s">
        <v>271</v>
      </c>
      <c r="H108" s="790" t="e">
        <f t="shared" ref="H108:R108" si="40">H27/H17</f>
        <v>#DIV/0!</v>
      </c>
      <c r="I108" s="790" t="e">
        <f t="shared" si="40"/>
        <v>#DIV/0!</v>
      </c>
      <c r="J108" s="790" t="e">
        <f t="shared" si="40"/>
        <v>#DIV/0!</v>
      </c>
      <c r="K108" s="790" t="e">
        <f t="shared" si="40"/>
        <v>#DIV/0!</v>
      </c>
      <c r="L108" s="790" t="e">
        <f t="shared" si="40"/>
        <v>#DIV/0!</v>
      </c>
      <c r="M108" s="790" t="e">
        <f t="shared" si="40"/>
        <v>#DIV/0!</v>
      </c>
      <c r="N108" s="790" t="e">
        <f t="shared" si="40"/>
        <v>#DIV/0!</v>
      </c>
      <c r="O108" s="790" t="e">
        <f t="shared" si="40"/>
        <v>#DIV/0!</v>
      </c>
      <c r="P108" s="790" t="e">
        <f t="shared" si="40"/>
        <v>#DIV/0!</v>
      </c>
      <c r="Q108" s="790" t="e">
        <f t="shared" si="40"/>
        <v>#DIV/0!</v>
      </c>
      <c r="R108" s="790" t="e">
        <f t="shared" si="40"/>
        <v>#DIV/0!</v>
      </c>
    </row>
    <row r="109" spans="1:18" x14ac:dyDescent="0.2">
      <c r="C109" s="16"/>
      <c r="F109" s="69"/>
      <c r="G109" s="198" t="s">
        <v>272</v>
      </c>
      <c r="H109" s="777">
        <f t="shared" ref="H109:R109" si="41">H95</f>
        <v>2011</v>
      </c>
      <c r="I109" s="777">
        <f t="shared" si="41"/>
        <v>2012</v>
      </c>
      <c r="J109" s="777">
        <f t="shared" si="41"/>
        <v>2013</v>
      </c>
      <c r="K109" s="777">
        <f t="shared" si="41"/>
        <v>2014</v>
      </c>
      <c r="L109" s="777">
        <f t="shared" si="41"/>
        <v>2015</v>
      </c>
      <c r="M109" s="777">
        <f t="shared" si="41"/>
        <v>2016</v>
      </c>
      <c r="N109" s="777">
        <f t="shared" si="41"/>
        <v>2017</v>
      </c>
      <c r="O109" s="777">
        <f t="shared" si="41"/>
        <v>2018</v>
      </c>
      <c r="P109" s="777">
        <f t="shared" si="41"/>
        <v>2019</v>
      </c>
      <c r="Q109" s="777">
        <f t="shared" si="41"/>
        <v>2020</v>
      </c>
      <c r="R109" s="777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782"/>
      <c r="F110" s="69"/>
      <c r="G110" s="18" t="s">
        <v>276</v>
      </c>
      <c r="H110" s="793">
        <f t="shared" ref="H110:R110" si="42">H10/H4</f>
        <v>0.97116561918701194</v>
      </c>
      <c r="I110" s="793">
        <f t="shared" si="42"/>
        <v>0.97137646268192157</v>
      </c>
      <c r="J110" s="793">
        <f t="shared" si="42"/>
        <v>0.96670878317379105</v>
      </c>
      <c r="K110" s="793">
        <f t="shared" si="42"/>
        <v>0.9651539105548399</v>
      </c>
      <c r="L110" s="793">
        <f t="shared" si="42"/>
        <v>0.9620567734321791</v>
      </c>
      <c r="M110" s="793">
        <f t="shared" si="42"/>
        <v>0.95973023164891014</v>
      </c>
      <c r="N110" s="793">
        <f t="shared" si="42"/>
        <v>0.95699035105727781</v>
      </c>
      <c r="O110" s="793">
        <f t="shared" si="42"/>
        <v>0.95584076571677179</v>
      </c>
      <c r="P110" s="793">
        <f t="shared" si="42"/>
        <v>0.94539831502612781</v>
      </c>
      <c r="Q110" s="793">
        <f t="shared" si="42"/>
        <v>0.93144526859968535</v>
      </c>
      <c r="R110" s="793">
        <f t="shared" si="42"/>
        <v>0.9080094228504122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782"/>
      <c r="F111" s="69"/>
      <c r="G111" s="18" t="s">
        <v>280</v>
      </c>
      <c r="H111" s="793">
        <f t="shared" ref="H111:R111" si="43">-(H58)/H15</f>
        <v>-7.3076415481742006E-3</v>
      </c>
      <c r="I111" s="793">
        <f t="shared" si="43"/>
        <v>1.0794288518887302E-3</v>
      </c>
      <c r="J111" s="793">
        <f t="shared" si="43"/>
        <v>1.085641296901225E-3</v>
      </c>
      <c r="K111" s="793">
        <f t="shared" si="43"/>
        <v>4.2145268491649467E-4</v>
      </c>
      <c r="L111" s="793">
        <f t="shared" si="43"/>
        <v>3.2102153160274102E-3</v>
      </c>
      <c r="M111" s="793">
        <f t="shared" si="43"/>
        <v>5.8798221712318948E-3</v>
      </c>
      <c r="N111" s="793">
        <f t="shared" si="43"/>
        <v>2.1939447125932428E-3</v>
      </c>
      <c r="O111" s="793">
        <f t="shared" si="43"/>
        <v>4.047976011994003E-3</v>
      </c>
      <c r="P111" s="793">
        <f t="shared" si="43"/>
        <v>0.10527124635008453</v>
      </c>
      <c r="Q111" s="793">
        <f t="shared" si="43"/>
        <v>0</v>
      </c>
      <c r="R111" s="793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782"/>
      <c r="F112" s="69"/>
      <c r="G112" s="771" t="s">
        <v>284</v>
      </c>
      <c r="H112" s="787">
        <f t="shared" ref="H112:R112" si="44">H33/H4</f>
        <v>0.15534260229678759</v>
      </c>
      <c r="I112" s="787">
        <f t="shared" si="44"/>
        <v>0.16885896619386975</v>
      </c>
      <c r="J112" s="787">
        <f t="shared" si="44"/>
        <v>0.1620569391391008</v>
      </c>
      <c r="K112" s="787">
        <f t="shared" si="44"/>
        <v>0.17752498886153667</v>
      </c>
      <c r="L112" s="787">
        <f t="shared" si="44"/>
        <v>0.18238130334141711</v>
      </c>
      <c r="M112" s="787">
        <f t="shared" si="44"/>
        <v>0.21806275046427523</v>
      </c>
      <c r="N112" s="787">
        <f t="shared" si="44"/>
        <v>0.24091562307534387</v>
      </c>
      <c r="O112" s="787">
        <f t="shared" si="44"/>
        <v>0.27963889493147703</v>
      </c>
      <c r="P112" s="787">
        <f t="shared" si="44"/>
        <v>0.33955422843126798</v>
      </c>
      <c r="Q112" s="787">
        <f t="shared" si="44"/>
        <v>0.28680602382557879</v>
      </c>
      <c r="R112" s="787">
        <f t="shared" si="44"/>
        <v>0.303886925795053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782"/>
      <c r="F113" s="69"/>
      <c r="G113" s="186" t="s">
        <v>288</v>
      </c>
      <c r="H113" s="787">
        <f t="shared" ref="H113:R113" si="45">H33/H15</f>
        <v>0.25521287106067209</v>
      </c>
      <c r="I113" s="787">
        <f t="shared" si="45"/>
        <v>0.27099029687325532</v>
      </c>
      <c r="J113" s="787">
        <f t="shared" si="45"/>
        <v>0.25554765932990653</v>
      </c>
      <c r="K113" s="787">
        <f t="shared" si="45"/>
        <v>0.27399352019937934</v>
      </c>
      <c r="L113" s="787">
        <f t="shared" si="45"/>
        <v>0.27504074114645566</v>
      </c>
      <c r="M113" s="787">
        <f t="shared" si="45"/>
        <v>0.31994837229313067</v>
      </c>
      <c r="N113" s="787">
        <f t="shared" si="45"/>
        <v>0.34327921603042272</v>
      </c>
      <c r="O113" s="787">
        <f t="shared" si="45"/>
        <v>0.38545727136431784</v>
      </c>
      <c r="P113" s="787">
        <f t="shared" si="45"/>
        <v>0.48931919471338559</v>
      </c>
      <c r="Q113" s="787">
        <f t="shared" si="45"/>
        <v>0.36878612716763004</v>
      </c>
      <c r="R113" s="787">
        <f t="shared" si="45"/>
        <v>0.38375725122713072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784">
        <v>0.5</v>
      </c>
      <c r="E114" s="784">
        <f>1/3</f>
        <v>0.33333333333333331</v>
      </c>
      <c r="F114" s="69"/>
      <c r="G114" s="18" t="s">
        <v>292</v>
      </c>
      <c r="H114" s="793">
        <f t="shared" ref="H114:R114" si="46">H27/H4</f>
        <v>0.55531442271910836</v>
      </c>
      <c r="I114" s="793">
        <f t="shared" si="46"/>
        <v>0.58254702469958586</v>
      </c>
      <c r="J114" s="793">
        <f t="shared" si="46"/>
        <v>0.59493946395812258</v>
      </c>
      <c r="K114" s="793">
        <f t="shared" si="46"/>
        <v>0.61028514466090378</v>
      </c>
      <c r="L114" s="793">
        <f t="shared" si="46"/>
        <v>0.61400554180072342</v>
      </c>
      <c r="M114" s="793">
        <f t="shared" si="46"/>
        <v>0.63336917212393706</v>
      </c>
      <c r="N114" s="793">
        <f t="shared" si="46"/>
        <v>0.64914801888729212</v>
      </c>
      <c r="O114" s="793">
        <f t="shared" si="46"/>
        <v>0.68599086360670003</v>
      </c>
      <c r="P114" s="793">
        <f t="shared" si="46"/>
        <v>0.73701610323131062</v>
      </c>
      <c r="Q114" s="793">
        <f t="shared" si="46"/>
        <v>0.77320746235109017</v>
      </c>
      <c r="R114" s="793">
        <f t="shared" si="46"/>
        <v>0.81036513545347466</v>
      </c>
    </row>
    <row r="115" spans="1:19" x14ac:dyDescent="0.2">
      <c r="A115" s="77"/>
      <c r="C115" s="77"/>
      <c r="D115" s="78"/>
      <c r="E115" s="79"/>
      <c r="F115" s="69"/>
      <c r="G115" s="769" t="s">
        <v>293</v>
      </c>
      <c r="H115" s="777">
        <f t="shared" ref="H115:R115" si="47">H109</f>
        <v>2011</v>
      </c>
      <c r="I115" s="777">
        <f t="shared" si="47"/>
        <v>2012</v>
      </c>
      <c r="J115" s="777">
        <f t="shared" si="47"/>
        <v>2013</v>
      </c>
      <c r="K115" s="777">
        <f t="shared" si="47"/>
        <v>2014</v>
      </c>
      <c r="L115" s="777">
        <f t="shared" si="47"/>
        <v>2015</v>
      </c>
      <c r="M115" s="777">
        <f t="shared" si="47"/>
        <v>2016</v>
      </c>
      <c r="N115" s="777">
        <f t="shared" si="47"/>
        <v>2017</v>
      </c>
      <c r="O115" s="777">
        <f t="shared" si="47"/>
        <v>2018</v>
      </c>
      <c r="P115" s="777">
        <f t="shared" si="47"/>
        <v>2019</v>
      </c>
      <c r="Q115" s="777">
        <f t="shared" si="47"/>
        <v>2020</v>
      </c>
      <c r="R115" s="777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784">
        <v>0.05</v>
      </c>
      <c r="G116" s="771" t="s">
        <v>297</v>
      </c>
      <c r="H116" s="786">
        <f t="shared" ref="H116:R116" si="48">H35/H33</f>
        <v>0.2490249987638653</v>
      </c>
      <c r="I116" s="786">
        <f t="shared" si="48"/>
        <v>0.24689493796200124</v>
      </c>
      <c r="J116" s="786">
        <f t="shared" si="48"/>
        <v>0.20961369819002501</v>
      </c>
      <c r="K116" s="786">
        <f t="shared" si="48"/>
        <v>0.22704151089740177</v>
      </c>
      <c r="L116" s="786">
        <f t="shared" si="48"/>
        <v>0.23775840860078717</v>
      </c>
      <c r="M116" s="786">
        <f t="shared" si="48"/>
        <v>0.24787090990587179</v>
      </c>
      <c r="N116" s="786">
        <f t="shared" si="48"/>
        <v>0.25820195994887091</v>
      </c>
      <c r="O116" s="786">
        <f t="shared" si="48"/>
        <v>0.29210423959548815</v>
      </c>
      <c r="P116" s="786">
        <f t="shared" si="48"/>
        <v>0.23586683417085427</v>
      </c>
      <c r="Q116" s="786">
        <f t="shared" si="48"/>
        <v>0.29780564263322884</v>
      </c>
      <c r="R116" s="786">
        <f t="shared" si="48"/>
        <v>0.29651162790697677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784">
        <v>0.95</v>
      </c>
      <c r="G117" s="18" t="s">
        <v>301</v>
      </c>
      <c r="H117" s="793">
        <f t="shared" ref="H117:R117" si="49">(H36+H34)/H33</f>
        <v>0.74524036639032187</v>
      </c>
      <c r="I117" s="793">
        <f t="shared" si="49"/>
        <v>0.75229994235245745</v>
      </c>
      <c r="J117" s="793">
        <f t="shared" si="49"/>
        <v>0.78979904089495401</v>
      </c>
      <c r="K117" s="793">
        <f t="shared" si="49"/>
        <v>0.76673743053804322</v>
      </c>
      <c r="L117" s="793">
        <f t="shared" si="49"/>
        <v>0.75744843587192479</v>
      </c>
      <c r="M117" s="793">
        <f t="shared" si="49"/>
        <v>0.7512326311071269</v>
      </c>
      <c r="N117" s="793">
        <f t="shared" si="49"/>
        <v>0.73753728163613119</v>
      </c>
      <c r="O117" s="793">
        <f t="shared" si="49"/>
        <v>0.7071178529754959</v>
      </c>
      <c r="P117" s="793">
        <f t="shared" si="49"/>
        <v>0.76350502512562812</v>
      </c>
      <c r="Q117" s="793">
        <f t="shared" si="49"/>
        <v>0.69749216300940442</v>
      </c>
      <c r="R117" s="793">
        <f t="shared" si="49"/>
        <v>0.69767441860465118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784">
        <v>0.95</v>
      </c>
      <c r="G118" s="186" t="s">
        <v>305</v>
      </c>
      <c r="H118" s="786">
        <f t="shared" ref="H118:R118" si="50">H38/(H38+H41)</f>
        <v>0</v>
      </c>
      <c r="I118" s="786">
        <f t="shared" si="50"/>
        <v>0</v>
      </c>
      <c r="J118" s="786">
        <f t="shared" si="50"/>
        <v>0</v>
      </c>
      <c r="K118" s="786">
        <f t="shared" si="50"/>
        <v>0</v>
      </c>
      <c r="L118" s="786">
        <f t="shared" si="50"/>
        <v>0</v>
      </c>
      <c r="M118" s="786">
        <f t="shared" si="50"/>
        <v>0</v>
      </c>
      <c r="N118" s="786">
        <f t="shared" si="50"/>
        <v>0</v>
      </c>
      <c r="O118" s="786">
        <f t="shared" si="50"/>
        <v>0</v>
      </c>
      <c r="P118" s="786">
        <f t="shared" si="50"/>
        <v>0</v>
      </c>
      <c r="Q118" s="786">
        <f t="shared" si="50"/>
        <v>0</v>
      </c>
      <c r="R118" s="786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769" t="s">
        <v>306</v>
      </c>
      <c r="H119" s="777">
        <f>H115</f>
        <v>2011</v>
      </c>
      <c r="I119" s="777">
        <f t="shared" ref="I119:R119" si="51">I115</f>
        <v>2012</v>
      </c>
      <c r="J119" s="777">
        <f t="shared" si="51"/>
        <v>2013</v>
      </c>
      <c r="K119" s="777">
        <f t="shared" si="51"/>
        <v>2014</v>
      </c>
      <c r="L119" s="777">
        <f t="shared" si="51"/>
        <v>2015</v>
      </c>
      <c r="M119" s="777">
        <f t="shared" si="51"/>
        <v>2016</v>
      </c>
      <c r="N119" s="777">
        <f t="shared" si="51"/>
        <v>2017</v>
      </c>
      <c r="O119" s="777">
        <f t="shared" si="51"/>
        <v>2018</v>
      </c>
      <c r="P119" s="777">
        <f t="shared" si="51"/>
        <v>2019</v>
      </c>
      <c r="Q119" s="777">
        <f t="shared" si="51"/>
        <v>2020</v>
      </c>
      <c r="R119" s="777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794">
        <v>0.5</v>
      </c>
      <c r="E120" s="795" t="s">
        <v>310</v>
      </c>
      <c r="F120" s="4"/>
      <c r="G120" s="771" t="s">
        <v>311</v>
      </c>
      <c r="H120" s="787" t="str">
        <f t="shared" ref="H120:R120" si="52">IF(H116&lt;$D$120,$E$120,H35/H4)</f>
        <v>N/A</v>
      </c>
      <c r="I120" s="787" t="str">
        <f t="shared" si="52"/>
        <v>N/A</v>
      </c>
      <c r="J120" s="787" t="str">
        <f t="shared" si="52"/>
        <v>N/A</v>
      </c>
      <c r="K120" s="787" t="str">
        <f t="shared" si="52"/>
        <v>N/A</v>
      </c>
      <c r="L120" s="787" t="str">
        <f t="shared" si="52"/>
        <v>N/A</v>
      </c>
      <c r="M120" s="787" t="str">
        <f t="shared" si="52"/>
        <v>N/A</v>
      </c>
      <c r="N120" s="787" t="str">
        <f t="shared" si="52"/>
        <v>N/A</v>
      </c>
      <c r="O120" s="787" t="str">
        <f t="shared" si="52"/>
        <v>N/A</v>
      </c>
      <c r="P120" s="787" t="str">
        <f t="shared" si="52"/>
        <v>N/A</v>
      </c>
      <c r="Q120" s="787" t="str">
        <f t="shared" si="52"/>
        <v>N/A</v>
      </c>
      <c r="R120" s="787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794">
        <v>0.5</v>
      </c>
      <c r="E121" s="795" t="s">
        <v>310</v>
      </c>
      <c r="F121" s="4"/>
      <c r="G121" s="18" t="s">
        <v>315</v>
      </c>
      <c r="H121" s="787" t="str">
        <f t="shared" ref="H121:R121" si="53">IF(H116&lt;$D$121,$E$121,H35/H15)</f>
        <v>N/A</v>
      </c>
      <c r="I121" s="787" t="str">
        <f t="shared" si="53"/>
        <v>N/A</v>
      </c>
      <c r="J121" s="787" t="str">
        <f t="shared" si="53"/>
        <v>N/A</v>
      </c>
      <c r="K121" s="787" t="str">
        <f t="shared" si="53"/>
        <v>N/A</v>
      </c>
      <c r="L121" s="787" t="str">
        <f t="shared" si="53"/>
        <v>N/A</v>
      </c>
      <c r="M121" s="787" t="str">
        <f t="shared" si="53"/>
        <v>N/A</v>
      </c>
      <c r="N121" s="787" t="str">
        <f t="shared" si="53"/>
        <v>N/A</v>
      </c>
      <c r="O121" s="787" t="str">
        <f t="shared" si="53"/>
        <v>N/A</v>
      </c>
      <c r="P121" s="787" t="str">
        <f t="shared" si="53"/>
        <v>N/A</v>
      </c>
      <c r="Q121" s="787" t="str">
        <f t="shared" si="53"/>
        <v>N/A</v>
      </c>
      <c r="R121" s="787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794">
        <v>0.5</v>
      </c>
      <c r="E122" s="795" t="s">
        <v>310</v>
      </c>
      <c r="F122" s="4"/>
      <c r="G122" s="771" t="s">
        <v>318</v>
      </c>
      <c r="H122" s="793" t="str">
        <f t="shared" ref="H122:R122" si="54">IF(H116&lt;$D$122,$E$122,H46/H33)</f>
        <v>N/A</v>
      </c>
      <c r="I122" s="793" t="str">
        <f t="shared" si="54"/>
        <v>N/A</v>
      </c>
      <c r="J122" s="793" t="str">
        <f t="shared" si="54"/>
        <v>N/A</v>
      </c>
      <c r="K122" s="793" t="str">
        <f t="shared" si="54"/>
        <v>N/A</v>
      </c>
      <c r="L122" s="793" t="str">
        <f t="shared" si="54"/>
        <v>N/A</v>
      </c>
      <c r="M122" s="793" t="str">
        <f t="shared" si="54"/>
        <v>N/A</v>
      </c>
      <c r="N122" s="793" t="str">
        <f t="shared" si="54"/>
        <v>N/A</v>
      </c>
      <c r="O122" s="793" t="str">
        <f t="shared" si="54"/>
        <v>N/A</v>
      </c>
      <c r="P122" s="793" t="str">
        <f t="shared" si="54"/>
        <v>N/A</v>
      </c>
      <c r="Q122" s="793" t="str">
        <f t="shared" si="54"/>
        <v>N/A</v>
      </c>
      <c r="R122" s="793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794">
        <v>0.5</v>
      </c>
      <c r="E123" s="795" t="s">
        <v>310</v>
      </c>
      <c r="F123" s="4"/>
      <c r="G123" s="18" t="s">
        <v>322</v>
      </c>
      <c r="H123" s="793" t="str">
        <f t="shared" ref="H123:R123" si="55">IF(H116&lt;$D$122,$E$123,H51/H33)</f>
        <v>N/A</v>
      </c>
      <c r="I123" s="793" t="str">
        <f t="shared" si="55"/>
        <v>N/A</v>
      </c>
      <c r="J123" s="793" t="str">
        <f t="shared" si="55"/>
        <v>N/A</v>
      </c>
      <c r="K123" s="793" t="str">
        <f t="shared" si="55"/>
        <v>N/A</v>
      </c>
      <c r="L123" s="793" t="str">
        <f t="shared" si="55"/>
        <v>N/A</v>
      </c>
      <c r="M123" s="793" t="str">
        <f t="shared" si="55"/>
        <v>N/A</v>
      </c>
      <c r="N123" s="793" t="str">
        <f t="shared" si="55"/>
        <v>N/A</v>
      </c>
      <c r="O123" s="793" t="str">
        <f t="shared" si="55"/>
        <v>N/A</v>
      </c>
      <c r="P123" s="793" t="str">
        <f t="shared" si="55"/>
        <v>N/A</v>
      </c>
      <c r="Q123" s="793" t="str">
        <f t="shared" si="55"/>
        <v>N/A</v>
      </c>
      <c r="R123" s="793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794">
        <v>0.5</v>
      </c>
      <c r="E124" s="795" t="s">
        <v>310</v>
      </c>
      <c r="F124" s="4"/>
      <c r="G124" s="18" t="s">
        <v>326</v>
      </c>
      <c r="H124" s="793" t="str">
        <f t="shared" ref="H124:R124" si="56">IF(H116&lt;$D$124,$E$124,H51/H4)</f>
        <v>N/A</v>
      </c>
      <c r="I124" s="793" t="str">
        <f t="shared" si="56"/>
        <v>N/A</v>
      </c>
      <c r="J124" s="793" t="str">
        <f t="shared" si="56"/>
        <v>N/A</v>
      </c>
      <c r="K124" s="793" t="str">
        <f t="shared" si="56"/>
        <v>N/A</v>
      </c>
      <c r="L124" s="793" t="str">
        <f t="shared" si="56"/>
        <v>N/A</v>
      </c>
      <c r="M124" s="793" t="str">
        <f t="shared" si="56"/>
        <v>N/A</v>
      </c>
      <c r="N124" s="793" t="str">
        <f t="shared" si="56"/>
        <v>N/A</v>
      </c>
      <c r="O124" s="793" t="str">
        <f t="shared" si="56"/>
        <v>N/A</v>
      </c>
      <c r="P124" s="793" t="str">
        <f t="shared" si="56"/>
        <v>N/A</v>
      </c>
      <c r="Q124" s="793" t="str">
        <f t="shared" si="56"/>
        <v>N/A</v>
      </c>
      <c r="R124" s="793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794">
        <v>0.5</v>
      </c>
      <c r="E125" s="795" t="s">
        <v>310</v>
      </c>
      <c r="F125" s="4"/>
      <c r="G125" s="186" t="s">
        <v>330</v>
      </c>
      <c r="H125" s="793" t="str">
        <f t="shared" ref="H125:R125" si="57">IF(H116&lt;$D$125,$E$125,H51/H27)</f>
        <v>N/A</v>
      </c>
      <c r="I125" s="793" t="str">
        <f t="shared" si="57"/>
        <v>N/A</v>
      </c>
      <c r="J125" s="793" t="str">
        <f t="shared" si="57"/>
        <v>N/A</v>
      </c>
      <c r="K125" s="793" t="str">
        <f t="shared" si="57"/>
        <v>N/A</v>
      </c>
      <c r="L125" s="793" t="str">
        <f t="shared" si="57"/>
        <v>N/A</v>
      </c>
      <c r="M125" s="793" t="str">
        <f t="shared" si="57"/>
        <v>N/A</v>
      </c>
      <c r="N125" s="793" t="str">
        <f t="shared" si="57"/>
        <v>N/A</v>
      </c>
      <c r="O125" s="793" t="str">
        <f t="shared" si="57"/>
        <v>N/A</v>
      </c>
      <c r="P125" s="793" t="str">
        <f t="shared" si="57"/>
        <v>N/A</v>
      </c>
      <c r="Q125" s="793" t="str">
        <f t="shared" si="57"/>
        <v>N/A</v>
      </c>
      <c r="R125" s="793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777">
        <f>H119</f>
        <v>2011</v>
      </c>
      <c r="I127" s="777">
        <f t="shared" ref="I127:R127" si="58">I119</f>
        <v>2012</v>
      </c>
      <c r="J127" s="777">
        <f t="shared" si="58"/>
        <v>2013</v>
      </c>
      <c r="K127" s="777">
        <f t="shared" si="58"/>
        <v>2014</v>
      </c>
      <c r="L127" s="777">
        <f t="shared" si="58"/>
        <v>2015</v>
      </c>
      <c r="M127" s="777">
        <f t="shared" si="58"/>
        <v>2016</v>
      </c>
      <c r="N127" s="777">
        <f t="shared" si="58"/>
        <v>2017</v>
      </c>
      <c r="O127" s="777">
        <f t="shared" si="58"/>
        <v>2018</v>
      </c>
      <c r="P127" s="777">
        <f t="shared" si="58"/>
        <v>2019</v>
      </c>
      <c r="Q127" s="777">
        <f t="shared" si="58"/>
        <v>2020</v>
      </c>
      <c r="R127" s="777">
        <f t="shared" si="58"/>
        <v>2021</v>
      </c>
    </row>
    <row r="128" spans="1:19" x14ac:dyDescent="0.2">
      <c r="G128" s="796" t="s">
        <v>331</v>
      </c>
      <c r="H128" s="797">
        <f t="shared" ref="H128:R128" si="59">H33</f>
        <v>1941.5360000000001</v>
      </c>
      <c r="I128" s="797">
        <f t="shared" si="59"/>
        <v>2055.5950000000003</v>
      </c>
      <c r="J128" s="797">
        <f t="shared" si="59"/>
        <v>1898.645</v>
      </c>
      <c r="K128" s="797">
        <f t="shared" si="59"/>
        <v>1990.6579999999999</v>
      </c>
      <c r="L128" s="797">
        <f t="shared" si="59"/>
        <v>1955.914</v>
      </c>
      <c r="M128" s="797">
        <f t="shared" si="59"/>
        <v>2231</v>
      </c>
      <c r="N128" s="797">
        <f t="shared" si="59"/>
        <v>2347</v>
      </c>
      <c r="O128" s="797">
        <f t="shared" si="59"/>
        <v>2571</v>
      </c>
      <c r="P128" s="797">
        <f t="shared" si="59"/>
        <v>3184</v>
      </c>
      <c r="Q128" s="797">
        <f t="shared" si="59"/>
        <v>2552</v>
      </c>
      <c r="R128" s="797">
        <f t="shared" si="59"/>
        <v>2580</v>
      </c>
    </row>
    <row r="129" spans="3:19" x14ac:dyDescent="0.2">
      <c r="G129" s="796" t="s">
        <v>332</v>
      </c>
      <c r="H129" s="797">
        <f t="shared" ref="H129:R130" si="60">H35</f>
        <v>483.49099999999999</v>
      </c>
      <c r="I129" s="797">
        <f t="shared" si="60"/>
        <v>507.51600000000002</v>
      </c>
      <c r="J129" s="797">
        <f t="shared" si="60"/>
        <v>397.98200000000003</v>
      </c>
      <c r="K129" s="797">
        <f t="shared" si="60"/>
        <v>451.96199999999999</v>
      </c>
      <c r="L129" s="797">
        <f t="shared" si="60"/>
        <v>465.03500000000003</v>
      </c>
      <c r="M129" s="797">
        <f t="shared" si="60"/>
        <v>553</v>
      </c>
      <c r="N129" s="797">
        <f t="shared" si="60"/>
        <v>606</v>
      </c>
      <c r="O129" s="797">
        <f t="shared" si="60"/>
        <v>751</v>
      </c>
      <c r="P129" s="797">
        <f t="shared" si="60"/>
        <v>751</v>
      </c>
      <c r="Q129" s="797">
        <f t="shared" si="60"/>
        <v>760</v>
      </c>
      <c r="R129" s="797">
        <f t="shared" si="60"/>
        <v>765</v>
      </c>
    </row>
    <row r="130" spans="3:19" x14ac:dyDescent="0.2">
      <c r="G130" s="796" t="s">
        <v>333</v>
      </c>
      <c r="H130" s="797">
        <f t="shared" si="60"/>
        <v>1446.9110000000001</v>
      </c>
      <c r="I130" s="797">
        <f t="shared" si="60"/>
        <v>1546.424</v>
      </c>
      <c r="J130" s="797">
        <f t="shared" si="60"/>
        <v>1499.548</v>
      </c>
      <c r="K130" s="797">
        <f t="shared" si="60"/>
        <v>1526.3119999999999</v>
      </c>
      <c r="L130" s="797">
        <f t="shared" si="60"/>
        <v>1481.5039999999999</v>
      </c>
      <c r="M130" s="797">
        <f t="shared" si="60"/>
        <v>1676</v>
      </c>
      <c r="N130" s="797">
        <f t="shared" si="60"/>
        <v>1731</v>
      </c>
      <c r="O130" s="797">
        <f t="shared" si="60"/>
        <v>1818</v>
      </c>
      <c r="P130" s="797">
        <f t="shared" si="60"/>
        <v>2431</v>
      </c>
      <c r="Q130" s="797">
        <f t="shared" si="60"/>
        <v>1780</v>
      </c>
      <c r="R130" s="797">
        <f t="shared" si="60"/>
        <v>1800</v>
      </c>
    </row>
    <row r="131" spans="3:19" x14ac:dyDescent="0.2">
      <c r="G131" s="796" t="s">
        <v>334</v>
      </c>
      <c r="H131" s="797">
        <f t="shared" ref="H131:R131" si="61">H38+H41</f>
        <v>-1687.7510000000002</v>
      </c>
      <c r="I131" s="797">
        <f t="shared" si="61"/>
        <v>-1773.3300000000002</v>
      </c>
      <c r="J131" s="797">
        <f t="shared" si="61"/>
        <v>-1945.6220000000001</v>
      </c>
      <c r="K131" s="797">
        <f t="shared" si="61"/>
        <v>-2039.2529999999999</v>
      </c>
      <c r="L131" s="797">
        <f t="shared" si="61"/>
        <v>-2152.3739999999998</v>
      </c>
      <c r="M131" s="797">
        <f t="shared" si="61"/>
        <v>-2286</v>
      </c>
      <c r="N131" s="797">
        <f t="shared" si="61"/>
        <v>-2463</v>
      </c>
      <c r="O131" s="797">
        <f t="shared" si="61"/>
        <v>-2553</v>
      </c>
      <c r="P131" s="797">
        <f t="shared" si="61"/>
        <v>-2549</v>
      </c>
      <c r="Q131" s="797">
        <f t="shared" si="61"/>
        <v>-2555</v>
      </c>
      <c r="R131" s="797">
        <f t="shared" si="61"/>
        <v>-2554</v>
      </c>
    </row>
    <row r="132" spans="3:19" x14ac:dyDescent="0.2">
      <c r="G132" s="796" t="s">
        <v>335</v>
      </c>
      <c r="H132" s="797">
        <f t="shared" ref="H132:R132" si="62">H41</f>
        <v>-1687.7510000000002</v>
      </c>
      <c r="I132" s="797">
        <f t="shared" si="62"/>
        <v>-1773.3300000000002</v>
      </c>
      <c r="J132" s="797">
        <f t="shared" si="62"/>
        <v>-1945.6220000000001</v>
      </c>
      <c r="K132" s="797">
        <f t="shared" si="62"/>
        <v>-2039.2529999999999</v>
      </c>
      <c r="L132" s="797">
        <f t="shared" si="62"/>
        <v>-2152.3739999999998</v>
      </c>
      <c r="M132" s="797">
        <f t="shared" si="62"/>
        <v>-2286</v>
      </c>
      <c r="N132" s="797">
        <f t="shared" si="62"/>
        <v>-2463</v>
      </c>
      <c r="O132" s="797">
        <f t="shared" si="62"/>
        <v>-2553</v>
      </c>
      <c r="P132" s="797">
        <f t="shared" si="62"/>
        <v>-2549</v>
      </c>
      <c r="Q132" s="797">
        <f t="shared" si="62"/>
        <v>-2555</v>
      </c>
      <c r="R132" s="797">
        <f t="shared" si="62"/>
        <v>-2554</v>
      </c>
    </row>
    <row r="133" spans="3:19" x14ac:dyDescent="0.2">
      <c r="G133" s="796" t="s">
        <v>336</v>
      </c>
      <c r="H133" s="797">
        <f t="shared" ref="H133:R133" si="63">H38</f>
        <v>0</v>
      </c>
      <c r="I133" s="797">
        <f t="shared" si="63"/>
        <v>0</v>
      </c>
      <c r="J133" s="797">
        <f t="shared" si="63"/>
        <v>0</v>
      </c>
      <c r="K133" s="797">
        <f t="shared" si="63"/>
        <v>0</v>
      </c>
      <c r="L133" s="797">
        <f t="shared" si="63"/>
        <v>0</v>
      </c>
      <c r="M133" s="797">
        <f t="shared" si="63"/>
        <v>0</v>
      </c>
      <c r="N133" s="797">
        <f t="shared" si="63"/>
        <v>0</v>
      </c>
      <c r="O133" s="797">
        <f t="shared" si="63"/>
        <v>0</v>
      </c>
      <c r="P133" s="797">
        <f t="shared" si="63"/>
        <v>0</v>
      </c>
      <c r="Q133" s="797">
        <f t="shared" si="63"/>
        <v>0</v>
      </c>
      <c r="R133" s="797">
        <f t="shared" si="63"/>
        <v>0</v>
      </c>
    </row>
    <row r="134" spans="3:19" x14ac:dyDescent="0.2">
      <c r="G134" s="796" t="s">
        <v>337</v>
      </c>
      <c r="H134" s="797">
        <f t="shared" ref="H134:R134" si="64">H46</f>
        <v>253.78499999999985</v>
      </c>
      <c r="I134" s="797">
        <f t="shared" si="64"/>
        <v>282.2650000000001</v>
      </c>
      <c r="J134" s="797">
        <f t="shared" si="64"/>
        <v>-46.977000000000089</v>
      </c>
      <c r="K134" s="797">
        <f t="shared" si="64"/>
        <v>-48.595000000000027</v>
      </c>
      <c r="L134" s="797">
        <f t="shared" si="64"/>
        <v>-196.45999999999981</v>
      </c>
      <c r="M134" s="797">
        <f t="shared" si="64"/>
        <v>-55</v>
      </c>
      <c r="N134" s="797">
        <f t="shared" si="64"/>
        <v>-116</v>
      </c>
      <c r="O134" s="797">
        <f t="shared" si="64"/>
        <v>18</v>
      </c>
      <c r="P134" s="797">
        <f t="shared" si="64"/>
        <v>635</v>
      </c>
      <c r="Q134" s="797">
        <f t="shared" si="64"/>
        <v>-3</v>
      </c>
      <c r="R134" s="797">
        <f t="shared" si="64"/>
        <v>26</v>
      </c>
    </row>
    <row r="135" spans="3:19" x14ac:dyDescent="0.2">
      <c r="G135" s="796" t="s">
        <v>338</v>
      </c>
      <c r="H135" s="797">
        <f t="shared" ref="H135:R135" si="65">H51</f>
        <v>88.143999999999863</v>
      </c>
      <c r="I135" s="797">
        <f t="shared" si="65"/>
        <v>151.05300000000011</v>
      </c>
      <c r="J135" s="797">
        <f t="shared" si="65"/>
        <v>-130.34400000000011</v>
      </c>
      <c r="K135" s="797">
        <f t="shared" si="65"/>
        <v>-126.89100000000003</v>
      </c>
      <c r="L135" s="797">
        <f t="shared" si="65"/>
        <v>-258.5829999999998</v>
      </c>
      <c r="M135" s="797">
        <f t="shared" si="65"/>
        <v>-104</v>
      </c>
      <c r="N135" s="797">
        <f t="shared" si="65"/>
        <v>-156</v>
      </c>
      <c r="O135" s="797">
        <f t="shared" si="65"/>
        <v>-17</v>
      </c>
      <c r="P135" s="797">
        <f t="shared" si="65"/>
        <v>604</v>
      </c>
      <c r="Q135" s="797">
        <f t="shared" si="65"/>
        <v>-31</v>
      </c>
      <c r="R135" s="797">
        <f t="shared" si="65"/>
        <v>0</v>
      </c>
    </row>
    <row r="136" spans="3:19" x14ac:dyDescent="0.2">
      <c r="G136" s="796" t="s">
        <v>339</v>
      </c>
      <c r="H136" s="797">
        <f t="shared" ref="H136:R137" si="66">H4</f>
        <v>12498.413</v>
      </c>
      <c r="I136" s="797">
        <f t="shared" si="66"/>
        <v>12173.442999999999</v>
      </c>
      <c r="J136" s="797">
        <f t="shared" si="66"/>
        <v>11715.913</v>
      </c>
      <c r="K136" s="797">
        <f t="shared" si="66"/>
        <v>11213.396000000001</v>
      </c>
      <c r="L136" s="797">
        <f t="shared" si="66"/>
        <v>10724.312000000002</v>
      </c>
      <c r="M136" s="797">
        <f t="shared" si="66"/>
        <v>10231</v>
      </c>
      <c r="N136" s="797">
        <f t="shared" si="66"/>
        <v>9742</v>
      </c>
      <c r="O136" s="797">
        <f t="shared" si="66"/>
        <v>9194</v>
      </c>
      <c r="P136" s="797">
        <f t="shared" si="66"/>
        <v>9377</v>
      </c>
      <c r="Q136" s="797">
        <f t="shared" si="66"/>
        <v>8898</v>
      </c>
      <c r="R136" s="797">
        <f t="shared" si="66"/>
        <v>8490</v>
      </c>
    </row>
    <row r="137" spans="3:19" x14ac:dyDescent="0.2">
      <c r="G137" s="796" t="s">
        <v>340</v>
      </c>
      <c r="H137" s="797">
        <f t="shared" si="66"/>
        <v>360.38400000000001</v>
      </c>
      <c r="I137" s="797">
        <f t="shared" si="66"/>
        <v>348.447</v>
      </c>
      <c r="J137" s="797">
        <f t="shared" si="66"/>
        <v>390.03700000000003</v>
      </c>
      <c r="K137" s="797">
        <f t="shared" si="66"/>
        <v>390.74299999999999</v>
      </c>
      <c r="L137" s="797">
        <f t="shared" si="66"/>
        <v>406.91500000000002</v>
      </c>
      <c r="M137" s="797">
        <f t="shared" si="66"/>
        <v>412</v>
      </c>
      <c r="N137" s="797">
        <f t="shared" si="66"/>
        <v>419</v>
      </c>
      <c r="O137" s="797">
        <f t="shared" si="66"/>
        <v>406</v>
      </c>
      <c r="P137" s="797">
        <f t="shared" si="66"/>
        <v>512</v>
      </c>
      <c r="Q137" s="797">
        <f t="shared" si="66"/>
        <v>610</v>
      </c>
      <c r="R137" s="797">
        <f t="shared" si="66"/>
        <v>781</v>
      </c>
    </row>
    <row r="138" spans="3:19" x14ac:dyDescent="0.2">
      <c r="G138" s="796" t="s">
        <v>341</v>
      </c>
      <c r="H138" s="797">
        <f t="shared" ref="H138:R138" si="67">H10</f>
        <v>12138.029</v>
      </c>
      <c r="I138" s="797">
        <f t="shared" si="67"/>
        <v>11824.995999999999</v>
      </c>
      <c r="J138" s="797">
        <f t="shared" si="67"/>
        <v>11325.876</v>
      </c>
      <c r="K138" s="797">
        <f t="shared" si="67"/>
        <v>10822.653</v>
      </c>
      <c r="L138" s="797">
        <f t="shared" si="67"/>
        <v>10317.397000000001</v>
      </c>
      <c r="M138" s="797">
        <f t="shared" si="67"/>
        <v>9819</v>
      </c>
      <c r="N138" s="797">
        <f t="shared" si="67"/>
        <v>9323</v>
      </c>
      <c r="O138" s="797">
        <f t="shared" si="67"/>
        <v>8788</v>
      </c>
      <c r="P138" s="797">
        <f t="shared" si="67"/>
        <v>8865</v>
      </c>
      <c r="Q138" s="797">
        <f t="shared" si="67"/>
        <v>8288</v>
      </c>
      <c r="R138" s="797">
        <f t="shared" si="67"/>
        <v>7709</v>
      </c>
    </row>
    <row r="139" spans="3:19" x14ac:dyDescent="0.2">
      <c r="G139" s="796" t="s">
        <v>342</v>
      </c>
      <c r="H139" s="797">
        <f t="shared" ref="H139:R140" si="68">H19</f>
        <v>5557.8630000000003</v>
      </c>
      <c r="I139" s="797">
        <f t="shared" si="68"/>
        <v>5081.84</v>
      </c>
      <c r="J139" s="797">
        <f t="shared" si="68"/>
        <v>4745.6540000000005</v>
      </c>
      <c r="K139" s="797">
        <f t="shared" si="68"/>
        <v>4370.0279999999993</v>
      </c>
      <c r="L139" s="797">
        <f t="shared" si="68"/>
        <v>4139.5259999999998</v>
      </c>
      <c r="M139" s="797">
        <f t="shared" si="68"/>
        <v>3751</v>
      </c>
      <c r="N139" s="797">
        <f t="shared" si="68"/>
        <v>3418</v>
      </c>
      <c r="O139" s="797">
        <f t="shared" si="68"/>
        <v>2887</v>
      </c>
      <c r="P139" s="797">
        <f t="shared" si="68"/>
        <v>2466</v>
      </c>
      <c r="Q139" s="797">
        <f t="shared" si="68"/>
        <v>2018</v>
      </c>
      <c r="R139" s="797">
        <f t="shared" si="68"/>
        <v>1610</v>
      </c>
    </row>
    <row r="140" spans="3:19" x14ac:dyDescent="0.2">
      <c r="G140" s="796" t="s">
        <v>343</v>
      </c>
      <c r="H140" s="797">
        <f t="shared" si="68"/>
        <v>767.899</v>
      </c>
      <c r="I140" s="797">
        <f t="shared" si="68"/>
        <v>614.29100000000005</v>
      </c>
      <c r="J140" s="797">
        <f t="shared" si="68"/>
        <v>614.00400000000002</v>
      </c>
      <c r="K140" s="797">
        <f t="shared" si="68"/>
        <v>577.23800000000006</v>
      </c>
      <c r="L140" s="797">
        <f t="shared" si="68"/>
        <v>698.00599999999997</v>
      </c>
      <c r="M140" s="797">
        <f t="shared" si="68"/>
        <v>668</v>
      </c>
      <c r="N140" s="797">
        <f t="shared" si="68"/>
        <v>696</v>
      </c>
      <c r="O140" s="797">
        <f t="shared" si="68"/>
        <v>551</v>
      </c>
      <c r="P140" s="797">
        <f t="shared" si="68"/>
        <v>398</v>
      </c>
      <c r="Q140" s="797">
        <f t="shared" si="68"/>
        <v>431</v>
      </c>
      <c r="R140" s="797">
        <f t="shared" si="68"/>
        <v>410</v>
      </c>
    </row>
    <row r="141" spans="3:19" x14ac:dyDescent="0.2">
      <c r="G141" s="796" t="s">
        <v>344</v>
      </c>
      <c r="H141" s="797">
        <f t="shared" ref="H141:R141" si="69">H24</f>
        <v>5215.1000000000004</v>
      </c>
      <c r="I141" s="797">
        <f t="shared" si="69"/>
        <v>4765.9970000000003</v>
      </c>
      <c r="J141" s="797">
        <f t="shared" si="69"/>
        <v>4467.808</v>
      </c>
      <c r="K141" s="797">
        <f t="shared" si="69"/>
        <v>4131.6499999999996</v>
      </c>
      <c r="L141" s="797">
        <f t="shared" si="69"/>
        <v>3792.79</v>
      </c>
      <c r="M141" s="797">
        <f t="shared" si="69"/>
        <v>3442</v>
      </c>
      <c r="N141" s="797">
        <f t="shared" si="69"/>
        <v>3082</v>
      </c>
      <c r="O141" s="797">
        <f t="shared" si="69"/>
        <v>2714</v>
      </c>
      <c r="P141" s="797">
        <f t="shared" si="69"/>
        <v>2341</v>
      </c>
      <c r="Q141" s="797">
        <f t="shared" si="69"/>
        <v>1964</v>
      </c>
      <c r="R141" s="797">
        <f t="shared" si="69"/>
        <v>1582</v>
      </c>
    </row>
    <row r="142" spans="3:19" x14ac:dyDescent="0.2">
      <c r="G142" s="796" t="s">
        <v>345</v>
      </c>
      <c r="H142" s="797">
        <f t="shared" ref="H142:R142" si="70">H27</f>
        <v>6940.549</v>
      </c>
      <c r="I142" s="797">
        <f t="shared" si="70"/>
        <v>7091.6030000000001</v>
      </c>
      <c r="J142" s="797">
        <f t="shared" si="70"/>
        <v>6970.259</v>
      </c>
      <c r="K142" s="797">
        <f t="shared" si="70"/>
        <v>6843.3689999999997</v>
      </c>
      <c r="L142" s="797">
        <f t="shared" si="70"/>
        <v>6584.7870000000003</v>
      </c>
      <c r="M142" s="797">
        <f t="shared" si="70"/>
        <v>6480</v>
      </c>
      <c r="N142" s="797">
        <f t="shared" si="70"/>
        <v>6324</v>
      </c>
      <c r="O142" s="797">
        <f t="shared" si="70"/>
        <v>6307</v>
      </c>
      <c r="P142" s="797">
        <f t="shared" si="70"/>
        <v>6911</v>
      </c>
      <c r="Q142" s="797">
        <f t="shared" si="70"/>
        <v>6880</v>
      </c>
      <c r="R142" s="797">
        <f t="shared" si="70"/>
        <v>6880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15" priority="51" stopIfTrue="1" operator="greaterThan">
      <formula>$E$116</formula>
    </cfRule>
    <cfRule type="cellIs" dxfId="114" priority="52" stopIfTrue="1" operator="lessThanOrEqual">
      <formula>$E$116</formula>
    </cfRule>
  </conditionalFormatting>
  <conditionalFormatting sqref="H118:Q118">
    <cfRule type="cellIs" dxfId="113" priority="49" stopIfTrue="1" operator="lessThanOrEqual">
      <formula>$E$118</formula>
    </cfRule>
    <cfRule type="cellIs" dxfId="112" priority="50" stopIfTrue="1" operator="greaterThan">
      <formula>$E$118</formula>
    </cfRule>
  </conditionalFormatting>
  <conditionalFormatting sqref="H99:Q99">
    <cfRule type="cellIs" dxfId="111" priority="47" operator="greaterThan">
      <formula>$E$99</formula>
    </cfRule>
    <cfRule type="cellIs" dxfId="110" priority="48" operator="lessThanOrEqual">
      <formula>$E$99</formula>
    </cfRule>
  </conditionalFormatting>
  <conditionalFormatting sqref="H102:Q102">
    <cfRule type="cellIs" dxfId="109" priority="45" stopIfTrue="1" operator="greaterThanOrEqual">
      <formula>$E$102</formula>
    </cfRule>
    <cfRule type="cellIs" dxfId="108" priority="46" stopIfTrue="1" operator="lessThan">
      <formula>$E$102</formula>
    </cfRule>
  </conditionalFormatting>
  <conditionalFormatting sqref="H104:Q104">
    <cfRule type="cellIs" dxfId="107" priority="43" stopIfTrue="1" operator="lessThan">
      <formula>$E$104</formula>
    </cfRule>
    <cfRule type="cellIs" dxfId="106" priority="44" stopIfTrue="1" operator="greaterThanOrEqual">
      <formula>$E$104</formula>
    </cfRule>
  </conditionalFormatting>
  <conditionalFormatting sqref="H103:Q103">
    <cfRule type="cellIs" dxfId="105" priority="41" stopIfTrue="1" operator="greaterThan">
      <formula>$E$103</formula>
    </cfRule>
    <cfRule type="cellIs" dxfId="104" priority="42" stopIfTrue="1" operator="lessThanOrEqual">
      <formula>$E$103</formula>
    </cfRule>
  </conditionalFormatting>
  <conditionalFormatting sqref="H100:Q100">
    <cfRule type="cellIs" dxfId="103" priority="30" stopIfTrue="1" operator="between">
      <formula>$D$100</formula>
      <formula>$E$100</formula>
    </cfRule>
    <cfRule type="cellIs" dxfId="102" priority="39" stopIfTrue="1" operator="lessThanOrEqual">
      <formula>$D$100</formula>
    </cfRule>
    <cfRule type="cellIs" dxfId="101" priority="40" stopIfTrue="1" operator="greaterThan">
      <formula>$E$100</formula>
    </cfRule>
  </conditionalFormatting>
  <conditionalFormatting sqref="H117:Q117">
    <cfRule type="cellIs" dxfId="100" priority="37" stopIfTrue="1" operator="greaterThan">
      <formula>$E$117</formula>
    </cfRule>
    <cfRule type="cellIs" dxfId="99" priority="38" stopIfTrue="1" operator="lessThanOrEqual">
      <formula>$E$117</formula>
    </cfRule>
  </conditionalFormatting>
  <conditionalFormatting sqref="H107:Q107">
    <cfRule type="cellIs" dxfId="98" priority="35" stopIfTrue="1" operator="greaterThan">
      <formula>$E$107</formula>
    </cfRule>
    <cfRule type="cellIs" dxfId="97" priority="36" stopIfTrue="1" operator="lessThanOrEqual">
      <formula>$E$107</formula>
    </cfRule>
  </conditionalFormatting>
  <conditionalFormatting sqref="H108:Q108">
    <cfRule type="cellIs" dxfId="96" priority="33" stopIfTrue="1" operator="lessThan">
      <formula>$E$108</formula>
    </cfRule>
    <cfRule type="cellIs" dxfId="95" priority="34" stopIfTrue="1" operator="greaterThanOrEqual">
      <formula>$E$108</formula>
    </cfRule>
  </conditionalFormatting>
  <conditionalFormatting sqref="H93:Q93">
    <cfRule type="cellIs" dxfId="94" priority="53" stopIfTrue="1" operator="lessThan">
      <formula>$D$93</formula>
    </cfRule>
    <cfRule type="cellIs" dxfId="93" priority="54" stopIfTrue="1" operator="between">
      <formula>$D$93</formula>
      <formula>$E$93</formula>
    </cfRule>
    <cfRule type="cellIs" dxfId="92" priority="55" stopIfTrue="1" operator="greaterThan">
      <formula>$E$93</formula>
    </cfRule>
  </conditionalFormatting>
  <conditionalFormatting sqref="H114:Q114">
    <cfRule type="cellIs" dxfId="91" priority="56" stopIfTrue="1" operator="lessThan">
      <formula>$E$114</formula>
    </cfRule>
    <cfRule type="cellIs" dxfId="90" priority="57" stopIfTrue="1" operator="between">
      <formula>$D$114</formula>
      <formula>$E$114</formula>
    </cfRule>
    <cfRule type="cellIs" dxfId="89" priority="58" stopIfTrue="1" operator="greaterThanOrEqual">
      <formula>$D$114</formula>
    </cfRule>
  </conditionalFormatting>
  <conditionalFormatting sqref="H90:Q90">
    <cfRule type="cellIs" dxfId="88" priority="31" stopIfTrue="1" operator="lessThan">
      <formula>$E$90</formula>
    </cfRule>
    <cfRule type="cellIs" dxfId="87" priority="32" stopIfTrue="1" operator="greaterThan">
      <formula>$E$90</formula>
    </cfRule>
  </conditionalFormatting>
  <conditionalFormatting sqref="R116">
    <cfRule type="cellIs" dxfId="86" priority="22" stopIfTrue="1" operator="greaterThan">
      <formula>$E$116</formula>
    </cfRule>
    <cfRule type="cellIs" dxfId="85" priority="23" stopIfTrue="1" operator="lessThanOrEqual">
      <formula>$E$116</formula>
    </cfRule>
  </conditionalFormatting>
  <conditionalFormatting sqref="R118">
    <cfRule type="cellIs" dxfId="84" priority="20" stopIfTrue="1" operator="lessThanOrEqual">
      <formula>$E$118</formula>
    </cfRule>
    <cfRule type="cellIs" dxfId="83" priority="21" stopIfTrue="1" operator="greaterThan">
      <formula>$E$118</formula>
    </cfRule>
  </conditionalFormatting>
  <conditionalFormatting sqref="R99">
    <cfRule type="cellIs" dxfId="82" priority="18" operator="greaterThan">
      <formula>$E$99</formula>
    </cfRule>
    <cfRule type="cellIs" dxfId="81" priority="19" operator="lessThanOrEqual">
      <formula>$E$99</formula>
    </cfRule>
  </conditionalFormatting>
  <conditionalFormatting sqref="R102">
    <cfRule type="cellIs" dxfId="80" priority="16" stopIfTrue="1" operator="greaterThanOrEqual">
      <formula>$E$102</formula>
    </cfRule>
    <cfRule type="cellIs" dxfId="79" priority="17" stopIfTrue="1" operator="lessThan">
      <formula>$E$102</formula>
    </cfRule>
  </conditionalFormatting>
  <conditionalFormatting sqref="R104">
    <cfRule type="cellIs" dxfId="78" priority="14" stopIfTrue="1" operator="lessThan">
      <formula>$E$104</formula>
    </cfRule>
    <cfRule type="cellIs" dxfId="77" priority="15" stopIfTrue="1" operator="greaterThanOrEqual">
      <formula>$E$104</formula>
    </cfRule>
  </conditionalFormatting>
  <conditionalFormatting sqref="R103">
    <cfRule type="cellIs" dxfId="76" priority="12" stopIfTrue="1" operator="greaterThan">
      <formula>$E$103</formula>
    </cfRule>
    <cfRule type="cellIs" dxfId="75" priority="13" stopIfTrue="1" operator="lessThanOrEqual">
      <formula>$E$103</formula>
    </cfRule>
  </conditionalFormatting>
  <conditionalFormatting sqref="R100">
    <cfRule type="cellIs" dxfId="74" priority="1" stopIfTrue="1" operator="between">
      <formula>$D$100</formula>
      <formula>$E$100</formula>
    </cfRule>
    <cfRule type="cellIs" dxfId="73" priority="10" stopIfTrue="1" operator="lessThanOrEqual">
      <formula>$D$100</formula>
    </cfRule>
    <cfRule type="cellIs" dxfId="72" priority="11" stopIfTrue="1" operator="greaterThan">
      <formula>$E$100</formula>
    </cfRule>
  </conditionalFormatting>
  <conditionalFormatting sqref="R117">
    <cfRule type="cellIs" dxfId="71" priority="8" stopIfTrue="1" operator="greaterThan">
      <formula>$E$117</formula>
    </cfRule>
    <cfRule type="cellIs" dxfId="70" priority="9" stopIfTrue="1" operator="lessThanOrEqual">
      <formula>$E$117</formula>
    </cfRule>
  </conditionalFormatting>
  <conditionalFormatting sqref="R107">
    <cfRule type="cellIs" dxfId="69" priority="6" stopIfTrue="1" operator="greaterThan">
      <formula>$E$107</formula>
    </cfRule>
    <cfRule type="cellIs" dxfId="68" priority="7" stopIfTrue="1" operator="lessThanOrEqual">
      <formula>$E$107</formula>
    </cfRule>
  </conditionalFormatting>
  <conditionalFormatting sqref="R108">
    <cfRule type="cellIs" dxfId="67" priority="4" stopIfTrue="1" operator="lessThan">
      <formula>$E$108</formula>
    </cfRule>
    <cfRule type="cellIs" dxfId="66" priority="5" stopIfTrue="1" operator="greaterThanOrEqual">
      <formula>$E$108</formula>
    </cfRule>
  </conditionalFormatting>
  <conditionalFormatting sqref="R93">
    <cfRule type="cellIs" dxfId="65" priority="24" stopIfTrue="1" operator="lessThan">
      <formula>$D$93</formula>
    </cfRule>
    <cfRule type="cellIs" dxfId="64" priority="25" stopIfTrue="1" operator="between">
      <formula>$D$93</formula>
      <formula>$E$93</formula>
    </cfRule>
    <cfRule type="cellIs" dxfId="63" priority="26" stopIfTrue="1" operator="greaterThan">
      <formula>$E$93</formula>
    </cfRule>
  </conditionalFormatting>
  <conditionalFormatting sqref="R114">
    <cfRule type="cellIs" dxfId="62" priority="27" stopIfTrue="1" operator="lessThan">
      <formula>$E$114</formula>
    </cfRule>
    <cfRule type="cellIs" dxfId="61" priority="28" stopIfTrue="1" operator="between">
      <formula>$D$114</formula>
      <formula>$E$114</formula>
    </cfRule>
    <cfRule type="cellIs" dxfId="60" priority="29" stopIfTrue="1" operator="greaterThanOrEqual">
      <formula>$D$114</formula>
    </cfRule>
  </conditionalFormatting>
  <conditionalFormatting sqref="R90">
    <cfRule type="cellIs" dxfId="59" priority="2" stopIfTrue="1" operator="lessThan">
      <formula>$E$90</formula>
    </cfRule>
    <cfRule type="cellIs" dxfId="58" priority="3" stopIfTrue="1" operator="greaterThan">
      <formula>$E$90</formula>
    </cfRule>
  </conditionalFormatting>
  <pageMargins left="0.7" right="0.7" top="0.75" bottom="0.75" header="0.3" footer="0.3"/>
  <pageSetup orientation="portrait" horizontalDpi="0" verticalDpi="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18.5703125" style="48" customWidth="1"/>
    <col min="8" max="8" width="8.7109375" style="4" customWidth="1"/>
    <col min="9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18.5703125" style="4" customWidth="1"/>
    <col min="264" max="264" width="8.7109375" style="4" customWidth="1"/>
    <col min="265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18.5703125" style="4" customWidth="1"/>
    <col min="520" max="520" width="8.7109375" style="4" customWidth="1"/>
    <col min="521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18.5703125" style="4" customWidth="1"/>
    <col min="776" max="776" width="8.7109375" style="4" customWidth="1"/>
    <col min="777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18.5703125" style="4" customWidth="1"/>
    <col min="1032" max="1032" width="8.7109375" style="4" customWidth="1"/>
    <col min="1033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18.5703125" style="4" customWidth="1"/>
    <col min="1288" max="1288" width="8.7109375" style="4" customWidth="1"/>
    <col min="1289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18.5703125" style="4" customWidth="1"/>
    <col min="1544" max="1544" width="8.7109375" style="4" customWidth="1"/>
    <col min="1545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18.5703125" style="4" customWidth="1"/>
    <col min="1800" max="1800" width="8.7109375" style="4" customWidth="1"/>
    <col min="1801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18.5703125" style="4" customWidth="1"/>
    <col min="2056" max="2056" width="8.7109375" style="4" customWidth="1"/>
    <col min="2057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18.5703125" style="4" customWidth="1"/>
    <col min="2312" max="2312" width="8.7109375" style="4" customWidth="1"/>
    <col min="2313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18.5703125" style="4" customWidth="1"/>
    <col min="2568" max="2568" width="8.7109375" style="4" customWidth="1"/>
    <col min="2569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18.5703125" style="4" customWidth="1"/>
    <col min="2824" max="2824" width="8.7109375" style="4" customWidth="1"/>
    <col min="2825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18.5703125" style="4" customWidth="1"/>
    <col min="3080" max="3080" width="8.7109375" style="4" customWidth="1"/>
    <col min="3081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18.5703125" style="4" customWidth="1"/>
    <col min="3336" max="3336" width="8.7109375" style="4" customWidth="1"/>
    <col min="3337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18.5703125" style="4" customWidth="1"/>
    <col min="3592" max="3592" width="8.7109375" style="4" customWidth="1"/>
    <col min="3593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18.5703125" style="4" customWidth="1"/>
    <col min="3848" max="3848" width="8.7109375" style="4" customWidth="1"/>
    <col min="3849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18.5703125" style="4" customWidth="1"/>
    <col min="4104" max="4104" width="8.7109375" style="4" customWidth="1"/>
    <col min="4105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18.5703125" style="4" customWidth="1"/>
    <col min="4360" max="4360" width="8.7109375" style="4" customWidth="1"/>
    <col min="4361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18.5703125" style="4" customWidth="1"/>
    <col min="4616" max="4616" width="8.7109375" style="4" customWidth="1"/>
    <col min="4617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18.5703125" style="4" customWidth="1"/>
    <col min="4872" max="4872" width="8.7109375" style="4" customWidth="1"/>
    <col min="4873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18.5703125" style="4" customWidth="1"/>
    <col min="5128" max="5128" width="8.7109375" style="4" customWidth="1"/>
    <col min="5129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18.5703125" style="4" customWidth="1"/>
    <col min="5384" max="5384" width="8.7109375" style="4" customWidth="1"/>
    <col min="5385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18.5703125" style="4" customWidth="1"/>
    <col min="5640" max="5640" width="8.7109375" style="4" customWidth="1"/>
    <col min="5641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18.5703125" style="4" customWidth="1"/>
    <col min="5896" max="5896" width="8.7109375" style="4" customWidth="1"/>
    <col min="5897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18.5703125" style="4" customWidth="1"/>
    <col min="6152" max="6152" width="8.7109375" style="4" customWidth="1"/>
    <col min="6153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18.5703125" style="4" customWidth="1"/>
    <col min="6408" max="6408" width="8.7109375" style="4" customWidth="1"/>
    <col min="6409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18.5703125" style="4" customWidth="1"/>
    <col min="6664" max="6664" width="8.7109375" style="4" customWidth="1"/>
    <col min="6665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18.5703125" style="4" customWidth="1"/>
    <col min="6920" max="6920" width="8.7109375" style="4" customWidth="1"/>
    <col min="6921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18.5703125" style="4" customWidth="1"/>
    <col min="7176" max="7176" width="8.7109375" style="4" customWidth="1"/>
    <col min="7177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18.5703125" style="4" customWidth="1"/>
    <col min="7432" max="7432" width="8.7109375" style="4" customWidth="1"/>
    <col min="7433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18.5703125" style="4" customWidth="1"/>
    <col min="7688" max="7688" width="8.7109375" style="4" customWidth="1"/>
    <col min="7689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18.5703125" style="4" customWidth="1"/>
    <col min="7944" max="7944" width="8.7109375" style="4" customWidth="1"/>
    <col min="7945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18.5703125" style="4" customWidth="1"/>
    <col min="8200" max="8200" width="8.7109375" style="4" customWidth="1"/>
    <col min="8201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18.5703125" style="4" customWidth="1"/>
    <col min="8456" max="8456" width="8.7109375" style="4" customWidth="1"/>
    <col min="8457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18.5703125" style="4" customWidth="1"/>
    <col min="8712" max="8712" width="8.7109375" style="4" customWidth="1"/>
    <col min="8713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18.5703125" style="4" customWidth="1"/>
    <col min="8968" max="8968" width="8.7109375" style="4" customWidth="1"/>
    <col min="8969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18.5703125" style="4" customWidth="1"/>
    <col min="9224" max="9224" width="8.7109375" style="4" customWidth="1"/>
    <col min="9225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18.5703125" style="4" customWidth="1"/>
    <col min="9480" max="9480" width="8.7109375" style="4" customWidth="1"/>
    <col min="9481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18.5703125" style="4" customWidth="1"/>
    <col min="9736" max="9736" width="8.7109375" style="4" customWidth="1"/>
    <col min="9737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18.5703125" style="4" customWidth="1"/>
    <col min="9992" max="9992" width="8.7109375" style="4" customWidth="1"/>
    <col min="9993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18.5703125" style="4" customWidth="1"/>
    <col min="10248" max="10248" width="8.7109375" style="4" customWidth="1"/>
    <col min="10249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18.5703125" style="4" customWidth="1"/>
    <col min="10504" max="10504" width="8.7109375" style="4" customWidth="1"/>
    <col min="10505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18.5703125" style="4" customWidth="1"/>
    <col min="10760" max="10760" width="8.7109375" style="4" customWidth="1"/>
    <col min="10761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18.5703125" style="4" customWidth="1"/>
    <col min="11016" max="11016" width="8.7109375" style="4" customWidth="1"/>
    <col min="11017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18.5703125" style="4" customWidth="1"/>
    <col min="11272" max="11272" width="8.7109375" style="4" customWidth="1"/>
    <col min="11273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18.5703125" style="4" customWidth="1"/>
    <col min="11528" max="11528" width="8.7109375" style="4" customWidth="1"/>
    <col min="11529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18.5703125" style="4" customWidth="1"/>
    <col min="11784" max="11784" width="8.7109375" style="4" customWidth="1"/>
    <col min="11785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18.5703125" style="4" customWidth="1"/>
    <col min="12040" max="12040" width="8.7109375" style="4" customWidth="1"/>
    <col min="12041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18.5703125" style="4" customWidth="1"/>
    <col min="12296" max="12296" width="8.7109375" style="4" customWidth="1"/>
    <col min="12297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18.5703125" style="4" customWidth="1"/>
    <col min="12552" max="12552" width="8.7109375" style="4" customWidth="1"/>
    <col min="12553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18.5703125" style="4" customWidth="1"/>
    <col min="12808" max="12808" width="8.7109375" style="4" customWidth="1"/>
    <col min="12809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18.5703125" style="4" customWidth="1"/>
    <col min="13064" max="13064" width="8.7109375" style="4" customWidth="1"/>
    <col min="13065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18.5703125" style="4" customWidth="1"/>
    <col min="13320" max="13320" width="8.7109375" style="4" customWidth="1"/>
    <col min="13321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18.5703125" style="4" customWidth="1"/>
    <col min="13576" max="13576" width="8.7109375" style="4" customWidth="1"/>
    <col min="13577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18.5703125" style="4" customWidth="1"/>
    <col min="13832" max="13832" width="8.7109375" style="4" customWidth="1"/>
    <col min="13833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18.5703125" style="4" customWidth="1"/>
    <col min="14088" max="14088" width="8.7109375" style="4" customWidth="1"/>
    <col min="14089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18.5703125" style="4" customWidth="1"/>
    <col min="14344" max="14344" width="8.7109375" style="4" customWidth="1"/>
    <col min="14345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18.5703125" style="4" customWidth="1"/>
    <col min="14600" max="14600" width="8.7109375" style="4" customWidth="1"/>
    <col min="14601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18.5703125" style="4" customWidth="1"/>
    <col min="14856" max="14856" width="8.7109375" style="4" customWidth="1"/>
    <col min="14857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18.5703125" style="4" customWidth="1"/>
    <col min="15112" max="15112" width="8.7109375" style="4" customWidth="1"/>
    <col min="15113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18.5703125" style="4" customWidth="1"/>
    <col min="15368" max="15368" width="8.7109375" style="4" customWidth="1"/>
    <col min="15369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18.5703125" style="4" customWidth="1"/>
    <col min="15624" max="15624" width="8.7109375" style="4" customWidth="1"/>
    <col min="15625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18.5703125" style="4" customWidth="1"/>
    <col min="15880" max="15880" width="8.7109375" style="4" customWidth="1"/>
    <col min="15881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18.5703125" style="4" customWidth="1"/>
    <col min="16136" max="16136" width="8.7109375" style="4" customWidth="1"/>
    <col min="16137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6" t="s">
        <v>421</v>
      </c>
      <c r="H2" s="7" t="s">
        <v>422</v>
      </c>
      <c r="I2" s="8"/>
      <c r="J2" s="9"/>
      <c r="K2" s="1274" t="s">
        <v>6</v>
      </c>
      <c r="L2" s="1275"/>
      <c r="M2" s="1276" t="s">
        <v>423</v>
      </c>
      <c r="N2" s="1277"/>
      <c r="O2" s="1277"/>
      <c r="P2" s="1277"/>
      <c r="Q2" s="1277"/>
      <c r="R2" s="1278"/>
    </row>
    <row r="3" spans="1:18" x14ac:dyDescent="0.2">
      <c r="A3" s="1"/>
      <c r="B3" s="10"/>
      <c r="C3" s="3"/>
      <c r="D3" s="3"/>
      <c r="E3" s="1"/>
      <c r="F3" s="1"/>
      <c r="G3" s="11" t="s">
        <v>7</v>
      </c>
      <c r="H3" s="12">
        <v>40908</v>
      </c>
      <c r="I3" s="12">
        <v>41274</v>
      </c>
      <c r="J3" s="12">
        <v>41639</v>
      </c>
      <c r="K3" s="12">
        <v>42004</v>
      </c>
      <c r="L3" s="12">
        <v>42369</v>
      </c>
      <c r="M3" s="12">
        <v>42735</v>
      </c>
      <c r="N3" s="12">
        <v>43100</v>
      </c>
      <c r="O3" s="12">
        <v>43465</v>
      </c>
      <c r="P3" s="12">
        <v>43830</v>
      </c>
      <c r="Q3" s="12">
        <v>44196</v>
      </c>
      <c r="R3" s="12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14" t="s">
        <v>9</v>
      </c>
      <c r="H4" s="15">
        <f t="shared" ref="H4:R4" si="0">H5+H10</f>
        <v>3565.337</v>
      </c>
      <c r="I4" s="15">
        <f t="shared" si="0"/>
        <v>3769.3260000000005</v>
      </c>
      <c r="J4" s="15">
        <f t="shared" si="0"/>
        <v>3769.5439999999999</v>
      </c>
      <c r="K4" s="15">
        <f t="shared" si="0"/>
        <v>4071.5149999999999</v>
      </c>
      <c r="L4" s="15">
        <f t="shared" si="0"/>
        <v>4008.7909999999997</v>
      </c>
      <c r="M4" s="15">
        <f t="shared" si="0"/>
        <v>4159.3469999999998</v>
      </c>
      <c r="N4" s="15">
        <f t="shared" si="0"/>
        <v>4272.7380000000003</v>
      </c>
      <c r="O4" s="15">
        <f t="shared" si="0"/>
        <v>4284.1109999999999</v>
      </c>
      <c r="P4" s="15">
        <f t="shared" si="0"/>
        <v>4287.7129999999997</v>
      </c>
      <c r="Q4" s="15">
        <f t="shared" si="0"/>
        <v>4289.1149999999989</v>
      </c>
      <c r="R4" s="15">
        <f t="shared" si="0"/>
        <v>4301.6859999999997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15">
        <f t="shared" ref="H5:Q5" si="1">SUM(H6:H9)</f>
        <v>319.2</v>
      </c>
      <c r="I5" s="15">
        <f t="shared" si="1"/>
        <v>109.09399999999999</v>
      </c>
      <c r="J5" s="15">
        <f t="shared" si="1"/>
        <v>93.384</v>
      </c>
      <c r="K5" s="15">
        <f t="shared" si="1"/>
        <v>212.14100000000002</v>
      </c>
      <c r="L5" s="15">
        <f t="shared" si="1"/>
        <v>107.04599999999999</v>
      </c>
      <c r="M5" s="15">
        <f t="shared" si="1"/>
        <v>172.44900000000001</v>
      </c>
      <c r="N5" s="15">
        <f t="shared" si="1"/>
        <v>139.28</v>
      </c>
      <c r="O5" s="15">
        <f t="shared" si="1"/>
        <v>149.26</v>
      </c>
      <c r="P5" s="15">
        <f t="shared" si="1"/>
        <v>151.42000000000002</v>
      </c>
      <c r="Q5" s="15">
        <f t="shared" si="1"/>
        <v>151.36000000000001</v>
      </c>
      <c r="R5" s="15">
        <f>SUM(R6:R9)</f>
        <v>162.04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21">
        <v>256.60399999999998</v>
      </c>
      <c r="I6" s="21">
        <v>32.432000000000002</v>
      </c>
      <c r="J6" s="21">
        <v>12.24</v>
      </c>
      <c r="K6" s="21">
        <v>114.276</v>
      </c>
      <c r="L6" s="21">
        <v>19.794</v>
      </c>
      <c r="M6" s="21">
        <v>50.360999999999997</v>
      </c>
      <c r="N6" s="21">
        <v>36.28</v>
      </c>
      <c r="O6" s="21">
        <v>39.35</v>
      </c>
      <c r="P6" s="21">
        <v>40.36</v>
      </c>
      <c r="Q6" s="21">
        <v>39.24</v>
      </c>
      <c r="R6" s="21">
        <v>43.23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21">
        <v>24.736999999999998</v>
      </c>
      <c r="I7" s="21">
        <v>15.909000000000001</v>
      </c>
      <c r="J7" s="21">
        <v>27.055</v>
      </c>
      <c r="K7" s="21">
        <v>45.545999999999999</v>
      </c>
      <c r="L7" s="21">
        <v>37.238999999999997</v>
      </c>
      <c r="M7" s="21">
        <v>60.368000000000002</v>
      </c>
      <c r="N7" s="21">
        <v>47.76</v>
      </c>
      <c r="O7" s="21">
        <v>52.56</v>
      </c>
      <c r="P7" s="21">
        <v>55.17</v>
      </c>
      <c r="Q7" s="21">
        <v>57.97</v>
      </c>
      <c r="R7" s="21">
        <v>59.94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21">
        <v>37.859000000000002</v>
      </c>
      <c r="I9" s="21">
        <v>60.753</v>
      </c>
      <c r="J9" s="21">
        <v>54.088999999999999</v>
      </c>
      <c r="K9" s="21">
        <v>52.319000000000003</v>
      </c>
      <c r="L9" s="21">
        <v>50.012999999999998</v>
      </c>
      <c r="M9" s="21">
        <v>61.72</v>
      </c>
      <c r="N9" s="21">
        <v>55.24</v>
      </c>
      <c r="O9" s="21">
        <v>57.35</v>
      </c>
      <c r="P9" s="21">
        <v>55.89</v>
      </c>
      <c r="Q9" s="21">
        <v>54.15</v>
      </c>
      <c r="R9" s="21">
        <v>58.87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15">
        <f>SUM(H11:H16)</f>
        <v>3246.1370000000002</v>
      </c>
      <c r="I10" s="15">
        <f t="shared" ref="I10:R10" si="2">SUM(I11:I16)</f>
        <v>3660.2320000000004</v>
      </c>
      <c r="J10" s="15">
        <f t="shared" si="2"/>
        <v>3676.16</v>
      </c>
      <c r="K10" s="15">
        <f t="shared" si="2"/>
        <v>3859.3739999999998</v>
      </c>
      <c r="L10" s="15">
        <f t="shared" si="2"/>
        <v>3901.7449999999999</v>
      </c>
      <c r="M10" s="15">
        <f t="shared" si="2"/>
        <v>3986.8980000000001</v>
      </c>
      <c r="N10" s="15">
        <f t="shared" si="2"/>
        <v>4133.4580000000005</v>
      </c>
      <c r="O10" s="15">
        <f t="shared" si="2"/>
        <v>4134.8509999999997</v>
      </c>
      <c r="P10" s="15">
        <f t="shared" si="2"/>
        <v>4136.2929999999997</v>
      </c>
      <c r="Q10" s="15">
        <f t="shared" si="2"/>
        <v>4137.7549999999992</v>
      </c>
      <c r="R10" s="15">
        <f t="shared" si="2"/>
        <v>4139.6459999999997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21">
        <v>1.55</v>
      </c>
      <c r="I14" s="21">
        <v>1.512</v>
      </c>
      <c r="J14" s="21">
        <v>1.4730000000000001</v>
      </c>
      <c r="K14" s="21">
        <v>1.4350000000000001</v>
      </c>
      <c r="L14" s="21">
        <v>1.3959999999999999</v>
      </c>
      <c r="M14" s="21">
        <v>1.3580000000000001</v>
      </c>
      <c r="N14" s="21">
        <v>1.319</v>
      </c>
      <c r="O14" s="21">
        <v>1.2809999999999999</v>
      </c>
      <c r="P14" s="21">
        <v>1.2430000000000001</v>
      </c>
      <c r="Q14" s="21">
        <v>1.2050000000000001</v>
      </c>
      <c r="R14" s="21">
        <v>1.1659999999999999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21">
        <v>3242.0309999999999</v>
      </c>
      <c r="I15" s="21">
        <v>3654.1640000000002</v>
      </c>
      <c r="J15" s="21">
        <v>3668.931</v>
      </c>
      <c r="K15" s="21">
        <v>3850.8829999999998</v>
      </c>
      <c r="L15" s="21">
        <v>3894.5709999999999</v>
      </c>
      <c r="M15" s="21">
        <v>3979.22</v>
      </c>
      <c r="N15" s="21">
        <v>4125.8190000000004</v>
      </c>
      <c r="O15" s="21">
        <v>4127.25</v>
      </c>
      <c r="P15" s="21">
        <v>4128.7299999999996</v>
      </c>
      <c r="Q15" s="21">
        <v>4130.2299999999996</v>
      </c>
      <c r="R15" s="21">
        <v>4132.16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21">
        <v>2.556</v>
      </c>
      <c r="I16" s="21">
        <v>4.556</v>
      </c>
      <c r="J16" s="21">
        <v>5.7560000000000002</v>
      </c>
      <c r="K16" s="21">
        <v>7.056</v>
      </c>
      <c r="L16" s="21">
        <v>5.7779999999999996</v>
      </c>
      <c r="M16" s="21">
        <v>6.32</v>
      </c>
      <c r="N16" s="21">
        <v>6.32</v>
      </c>
      <c r="O16" s="21">
        <v>6.32</v>
      </c>
      <c r="P16" s="21">
        <v>6.32</v>
      </c>
      <c r="Q16" s="21">
        <v>6.32</v>
      </c>
      <c r="R16" s="21">
        <v>6.32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15">
        <f>H19+H27</f>
        <v>3565.3379999999997</v>
      </c>
      <c r="I18" s="15">
        <f t="shared" ref="I18:R18" si="3">I19+I27</f>
        <v>3769.326</v>
      </c>
      <c r="J18" s="15">
        <f t="shared" si="3"/>
        <v>3769.5450000000001</v>
      </c>
      <c r="K18" s="15">
        <f t="shared" si="3"/>
        <v>4071.5160000000001</v>
      </c>
      <c r="L18" s="15">
        <f t="shared" si="3"/>
        <v>4008.7919999999999</v>
      </c>
      <c r="M18" s="15">
        <f t="shared" si="3"/>
        <v>4159.348</v>
      </c>
      <c r="N18" s="15">
        <f t="shared" si="3"/>
        <v>4272.7020000000002</v>
      </c>
      <c r="O18" s="15">
        <f t="shared" si="3"/>
        <v>4284.3430000000008</v>
      </c>
      <c r="P18" s="15">
        <f t="shared" si="3"/>
        <v>4287.5850000000009</v>
      </c>
      <c r="Q18" s="15">
        <f t="shared" si="3"/>
        <v>4288.6560000000009</v>
      </c>
      <c r="R18" s="15">
        <f t="shared" si="3"/>
        <v>4301.7670000000007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15">
        <f>SUM(H21:H26)</f>
        <v>898.50399999999991</v>
      </c>
      <c r="I19" s="15">
        <f t="shared" ref="I19:R19" si="4">SUM(I21:I26)</f>
        <v>786.36500000000001</v>
      </c>
      <c r="J19" s="15">
        <f t="shared" si="4"/>
        <v>681.64400000000001</v>
      </c>
      <c r="K19" s="15">
        <f t="shared" si="4"/>
        <v>651.82799999999997</v>
      </c>
      <c r="L19" s="15">
        <f t="shared" si="4"/>
        <v>446.08199999999999</v>
      </c>
      <c r="M19" s="15">
        <f t="shared" si="4"/>
        <v>433.53899999999999</v>
      </c>
      <c r="N19" s="15">
        <f t="shared" si="4"/>
        <v>384.49299999999999</v>
      </c>
      <c r="O19" s="15">
        <f t="shared" si="4"/>
        <v>330.88400000000001</v>
      </c>
      <c r="P19" s="15">
        <f t="shared" si="4"/>
        <v>280.346</v>
      </c>
      <c r="Q19" s="15">
        <f t="shared" si="4"/>
        <v>231.167</v>
      </c>
      <c r="R19" s="15">
        <f t="shared" si="4"/>
        <v>179.02799999999999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31">
        <v>420.19099999999997</v>
      </c>
      <c r="I20" s="31">
        <v>247.57599999999999</v>
      </c>
      <c r="J20" s="31">
        <v>262.45100000000002</v>
      </c>
      <c r="K20" s="31">
        <v>323.19799999999998</v>
      </c>
      <c r="L20" s="31">
        <v>167.37100000000001</v>
      </c>
      <c r="M20" s="31">
        <v>204.74600000000001</v>
      </c>
      <c r="N20" s="31">
        <v>205.61799999999999</v>
      </c>
      <c r="O20" s="31">
        <v>201.80799999999999</v>
      </c>
      <c r="P20" s="31">
        <v>201.25800000000001</v>
      </c>
      <c r="Q20" s="31">
        <v>202.12899999999999</v>
      </c>
      <c r="R20" s="31">
        <v>200.23099999999999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21">
        <f>35.82+34.524+299.929</f>
        <v>370.27299999999997</v>
      </c>
      <c r="I21" s="21">
        <f>38.581+43.406+45.993</f>
        <v>127.97999999999999</v>
      </c>
      <c r="J21" s="21">
        <f>60.252+32.972+49.631</f>
        <v>142.85500000000002</v>
      </c>
      <c r="K21" s="21">
        <f>41.181+37.386+154.068</f>
        <v>232.63500000000002</v>
      </c>
      <c r="L21" s="21">
        <f>21.765+36.438+59.25</f>
        <v>117.453</v>
      </c>
      <c r="M21" s="21">
        <f>33.861+34.827+86.14</f>
        <v>154.82799999999997</v>
      </c>
      <c r="N21" s="21">
        <f>34.7+35.8+85.2</f>
        <v>155.69999999999999</v>
      </c>
      <c r="O21" s="21">
        <f>33.62+35.15+83.24</f>
        <v>152.01</v>
      </c>
      <c r="P21" s="21">
        <f>33.14+36.64+81.61</f>
        <v>151.38999999999999</v>
      </c>
      <c r="Q21" s="21">
        <f>32.84+37.14+82.15</f>
        <v>152.13</v>
      </c>
      <c r="R21" s="21">
        <f>34.21+35.05+80.65</f>
        <v>149.91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21">
        <f>49.918+478.313</f>
        <v>528.23099999999999</v>
      </c>
      <c r="I24" s="21">
        <f>119.596+538.789</f>
        <v>658.38499999999999</v>
      </c>
      <c r="J24" s="21">
        <f>119.596+419.193</f>
        <v>538.78899999999999</v>
      </c>
      <c r="K24" s="21">
        <f>90.564+328.629</f>
        <v>419.19299999999998</v>
      </c>
      <c r="L24" s="21">
        <f>49.918+278.711</f>
        <v>328.62900000000002</v>
      </c>
      <c r="M24" s="21">
        <v>278.71100000000001</v>
      </c>
      <c r="N24" s="21">
        <v>228.79300000000001</v>
      </c>
      <c r="O24" s="21">
        <v>178.874</v>
      </c>
      <c r="P24" s="21">
        <v>128.95599999999999</v>
      </c>
      <c r="Q24" s="21">
        <v>79.037000000000006</v>
      </c>
      <c r="R24" s="21">
        <v>29.117999999999999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15">
        <f>SUM(H28:H30)</f>
        <v>2666.8339999999998</v>
      </c>
      <c r="I27" s="15">
        <f t="shared" ref="I27:R27" si="5">SUM(I28:I30)</f>
        <v>2982.9609999999998</v>
      </c>
      <c r="J27" s="15">
        <f t="shared" si="5"/>
        <v>3087.9010000000003</v>
      </c>
      <c r="K27" s="15">
        <f t="shared" si="5"/>
        <v>3419.6880000000001</v>
      </c>
      <c r="L27" s="15">
        <f t="shared" si="5"/>
        <v>3562.71</v>
      </c>
      <c r="M27" s="15">
        <f t="shared" si="5"/>
        <v>3725.8090000000002</v>
      </c>
      <c r="N27" s="15">
        <f t="shared" si="5"/>
        <v>3888.2090000000003</v>
      </c>
      <c r="O27" s="15">
        <f t="shared" si="5"/>
        <v>3953.4590000000003</v>
      </c>
      <c r="P27" s="15">
        <f t="shared" si="5"/>
        <v>4007.2390000000005</v>
      </c>
      <c r="Q27" s="15">
        <f t="shared" si="5"/>
        <v>4057.4890000000005</v>
      </c>
      <c r="R27" s="15">
        <f t="shared" si="5"/>
        <v>4122.7390000000005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21">
        <v>621.83299999999997</v>
      </c>
      <c r="I28" s="21">
        <v>621.83299999999997</v>
      </c>
      <c r="J28" s="21">
        <v>621.83299999999997</v>
      </c>
      <c r="K28" s="21">
        <v>621.83299999999997</v>
      </c>
      <c r="L28" s="21">
        <v>621.83299999999997</v>
      </c>
      <c r="M28" s="21">
        <v>621.83299999999997</v>
      </c>
      <c r="N28" s="21">
        <v>621.83299999999997</v>
      </c>
      <c r="O28" s="21">
        <v>621.83299999999997</v>
      </c>
      <c r="P28" s="21">
        <v>621.83299999999997</v>
      </c>
      <c r="Q28" s="21">
        <v>621.83299999999997</v>
      </c>
      <c r="R28" s="21">
        <v>621.83299999999997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21">
        <v>1906.2449999999999</v>
      </c>
      <c r="I29" s="21">
        <f t="shared" ref="I29:R29" si="6">H29+H30</f>
        <v>2045.001</v>
      </c>
      <c r="J29" s="21">
        <f t="shared" si="6"/>
        <v>2361.1280000000002</v>
      </c>
      <c r="K29" s="21">
        <f t="shared" si="6"/>
        <v>2466.0680000000002</v>
      </c>
      <c r="L29" s="21">
        <f t="shared" si="6"/>
        <v>2797.855</v>
      </c>
      <c r="M29" s="21">
        <f t="shared" si="6"/>
        <v>2940.877</v>
      </c>
      <c r="N29" s="21">
        <f t="shared" si="6"/>
        <v>3103.9760000000001</v>
      </c>
      <c r="O29" s="21">
        <f t="shared" si="6"/>
        <v>3266.3760000000002</v>
      </c>
      <c r="P29" s="21">
        <f t="shared" si="6"/>
        <v>3331.6260000000002</v>
      </c>
      <c r="Q29" s="21">
        <f t="shared" si="6"/>
        <v>3385.4060000000004</v>
      </c>
      <c r="R29" s="21">
        <f t="shared" si="6"/>
        <v>3435.6560000000004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21">
        <v>138.756</v>
      </c>
      <c r="I30" s="21">
        <v>316.12700000000001</v>
      </c>
      <c r="J30" s="21">
        <v>104.94</v>
      </c>
      <c r="K30" s="21">
        <v>331.78699999999998</v>
      </c>
      <c r="L30" s="21">
        <v>143.02199999999999</v>
      </c>
      <c r="M30" s="21">
        <v>163.09899999999999</v>
      </c>
      <c r="N30" s="21">
        <v>162.4</v>
      </c>
      <c r="O30" s="21">
        <v>65.25</v>
      </c>
      <c r="P30" s="21">
        <v>53.78</v>
      </c>
      <c r="Q30" s="21">
        <v>50.25</v>
      </c>
      <c r="R30" s="21">
        <v>65.25</v>
      </c>
    </row>
    <row r="31" spans="1:19" s="40" customFormat="1" x14ac:dyDescent="0.2">
      <c r="A31" s="35"/>
      <c r="B31" s="10"/>
      <c r="C31" s="36"/>
      <c r="D31" s="36"/>
      <c r="E31" s="37"/>
      <c r="F31" s="35"/>
      <c r="G31" s="38" t="s">
        <v>77</v>
      </c>
      <c r="H31" s="39">
        <f t="shared" ref="H31:R31" si="7">H4-H18</f>
        <v>-9.9999999974897946E-4</v>
      </c>
      <c r="I31" s="39">
        <f t="shared" si="7"/>
        <v>0</v>
      </c>
      <c r="J31" s="39">
        <f t="shared" si="7"/>
        <v>-1.0000000002037268E-3</v>
      </c>
      <c r="K31" s="39">
        <f t="shared" si="7"/>
        <v>-1.0000000002037268E-3</v>
      </c>
      <c r="L31" s="39">
        <f t="shared" si="7"/>
        <v>-1.0000000002037268E-3</v>
      </c>
      <c r="M31" s="39">
        <f t="shared" si="7"/>
        <v>-1.0000000002037268E-3</v>
      </c>
      <c r="N31" s="39">
        <f t="shared" si="7"/>
        <v>3.6000000000058208E-2</v>
      </c>
      <c r="O31" s="39">
        <f t="shared" si="7"/>
        <v>-0.23200000000088039</v>
      </c>
      <c r="P31" s="39">
        <f t="shared" si="7"/>
        <v>0.12799999999879219</v>
      </c>
      <c r="Q31" s="39">
        <f t="shared" si="7"/>
        <v>0.45899999999801366</v>
      </c>
      <c r="R31" s="39">
        <f t="shared" si="7"/>
        <v>-8.1000000001040462E-2</v>
      </c>
      <c r="S31" s="4"/>
    </row>
    <row r="32" spans="1:19" x14ac:dyDescent="0.2">
      <c r="G32" s="11" t="s">
        <v>78</v>
      </c>
      <c r="H32" s="41">
        <v>2011</v>
      </c>
      <c r="I32" s="41">
        <f t="shared" ref="I32:R32" si="8">H32+1</f>
        <v>2012</v>
      </c>
      <c r="J32" s="41">
        <f t="shared" si="8"/>
        <v>2013</v>
      </c>
      <c r="K32" s="41">
        <f t="shared" si="8"/>
        <v>2014</v>
      </c>
      <c r="L32" s="41">
        <f t="shared" si="8"/>
        <v>2015</v>
      </c>
      <c r="M32" s="41">
        <f t="shared" si="8"/>
        <v>2016</v>
      </c>
      <c r="N32" s="41">
        <f t="shared" si="8"/>
        <v>2017</v>
      </c>
      <c r="O32" s="41">
        <f t="shared" si="8"/>
        <v>2018</v>
      </c>
      <c r="P32" s="41">
        <f t="shared" si="8"/>
        <v>2019</v>
      </c>
      <c r="Q32" s="41">
        <f t="shared" si="8"/>
        <v>2020</v>
      </c>
      <c r="R32" s="41">
        <f t="shared" si="8"/>
        <v>2021</v>
      </c>
    </row>
    <row r="33" spans="1:18" x14ac:dyDescent="0.2">
      <c r="B33" s="2" t="s">
        <v>79</v>
      </c>
      <c r="C33" s="19">
        <v>3</v>
      </c>
      <c r="G33" s="14" t="s">
        <v>80</v>
      </c>
      <c r="H33" s="15">
        <f>SUM(H34:H37)</f>
        <v>1568.0830000000001</v>
      </c>
      <c r="I33" s="15">
        <f t="shared" ref="I33:R33" si="9">SUM(I34:I37)</f>
        <v>2252.723</v>
      </c>
      <c r="J33" s="15">
        <f t="shared" si="9"/>
        <v>1809.595</v>
      </c>
      <c r="K33" s="15">
        <f t="shared" si="9"/>
        <v>2203.9340000000002</v>
      </c>
      <c r="L33" s="15">
        <f t="shared" si="9"/>
        <v>2160.2270000000003</v>
      </c>
      <c r="M33" s="15">
        <f t="shared" si="9"/>
        <v>2137.3969999999999</v>
      </c>
      <c r="N33" s="15">
        <f t="shared" si="9"/>
        <v>2177.2860000000001</v>
      </c>
      <c r="O33" s="15">
        <f t="shared" si="9"/>
        <v>2035.29</v>
      </c>
      <c r="P33" s="15">
        <f t="shared" si="9"/>
        <v>2049.4299999999998</v>
      </c>
      <c r="Q33" s="15">
        <f t="shared" si="9"/>
        <v>2060.63</v>
      </c>
      <c r="R33" s="15">
        <f t="shared" si="9"/>
        <v>2074.96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21">
        <v>805.82100000000003</v>
      </c>
      <c r="I35" s="21">
        <v>942.76400000000001</v>
      </c>
      <c r="J35" s="21">
        <v>1040.5740000000001</v>
      </c>
      <c r="K35" s="21">
        <v>1162.5129999999999</v>
      </c>
      <c r="L35" s="21">
        <v>1198.8630000000001</v>
      </c>
      <c r="M35" s="21">
        <v>1131.412</v>
      </c>
      <c r="N35" s="21">
        <v>1147.23</v>
      </c>
      <c r="O35" s="21">
        <v>1172.73</v>
      </c>
      <c r="P35" s="21">
        <v>1181.45</v>
      </c>
      <c r="Q35" s="21">
        <v>1191.53</v>
      </c>
      <c r="R35" s="21">
        <v>1199.1199999999999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21">
        <v>762.26199999999994</v>
      </c>
      <c r="I36" s="21">
        <v>1308.482</v>
      </c>
      <c r="J36" s="21">
        <v>762.22299999999996</v>
      </c>
      <c r="K36" s="21">
        <v>1036.8489999999999</v>
      </c>
      <c r="L36" s="21">
        <v>962.38400000000001</v>
      </c>
      <c r="M36" s="21">
        <v>1003.355</v>
      </c>
      <c r="N36" s="21">
        <v>1028.806</v>
      </c>
      <c r="O36" s="21">
        <v>859.8</v>
      </c>
      <c r="P36" s="21">
        <v>865.75</v>
      </c>
      <c r="Q36" s="21">
        <v>869.1</v>
      </c>
      <c r="R36" s="21">
        <v>875.84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21">
        <v>0</v>
      </c>
      <c r="I37" s="21">
        <v>1.4770000000000001</v>
      </c>
      <c r="J37" s="21">
        <v>6.798</v>
      </c>
      <c r="K37" s="21">
        <v>4.5720000000000001</v>
      </c>
      <c r="L37" s="21">
        <v>-1.02</v>
      </c>
      <c r="M37" s="21">
        <v>2.63</v>
      </c>
      <c r="N37" s="21">
        <v>1.25</v>
      </c>
      <c r="O37" s="21">
        <v>2.76</v>
      </c>
      <c r="P37" s="21">
        <v>2.23</v>
      </c>
      <c r="Q37" s="21">
        <v>0</v>
      </c>
      <c r="R37" s="21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15">
        <f>H39+H40</f>
        <v>-0.1</v>
      </c>
      <c r="I38" s="15">
        <f t="shared" ref="I38:R38" si="10">I39+I40</f>
        <v>0</v>
      </c>
      <c r="J38" s="15">
        <f t="shared" si="10"/>
        <v>-0.1</v>
      </c>
      <c r="K38" s="15">
        <f t="shared" si="10"/>
        <v>-0.1</v>
      </c>
      <c r="L38" s="15">
        <f t="shared" si="10"/>
        <v>-0.1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10"/>
        <v>0</v>
      </c>
      <c r="Q38" s="15">
        <f t="shared" si="10"/>
        <v>0</v>
      </c>
      <c r="R38" s="15">
        <f t="shared" si="10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21">
        <v>-0.1</v>
      </c>
      <c r="I40" s="21">
        <v>0</v>
      </c>
      <c r="J40" s="21">
        <v>-0.1</v>
      </c>
      <c r="K40" s="21">
        <v>-0.1</v>
      </c>
      <c r="L40" s="21">
        <v>-0.1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15">
        <f>SUM(H42:H45)</f>
        <v>-1412.5989999999999</v>
      </c>
      <c r="I41" s="15">
        <f t="shared" ref="I41:R41" si="11">SUM(I42:I45)</f>
        <v>-1925.5840000000003</v>
      </c>
      <c r="J41" s="15">
        <f t="shared" si="11"/>
        <v>-1696.5820000000001</v>
      </c>
      <c r="K41" s="15">
        <f t="shared" si="11"/>
        <v>-1866.3659999999998</v>
      </c>
      <c r="L41" s="15">
        <f t="shared" si="11"/>
        <v>-2014.1849999999999</v>
      </c>
      <c r="M41" s="15">
        <f t="shared" si="11"/>
        <v>-1972.9319999999998</v>
      </c>
      <c r="N41" s="15">
        <f t="shared" si="11"/>
        <v>-2013.3400000000001</v>
      </c>
      <c r="O41" s="15">
        <f t="shared" si="11"/>
        <v>-1969.06</v>
      </c>
      <c r="P41" s="15">
        <f t="shared" si="11"/>
        <v>-1994.2199999999998</v>
      </c>
      <c r="Q41" s="15">
        <f t="shared" si="11"/>
        <v>-2010.0099999999998</v>
      </c>
      <c r="R41" s="15">
        <f t="shared" si="11"/>
        <v>-2009.5500000000002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21">
        <v>-705.024</v>
      </c>
      <c r="I42" s="21">
        <v>-851.67700000000002</v>
      </c>
      <c r="J42" s="21">
        <v>-861.22799999999995</v>
      </c>
      <c r="K42" s="21">
        <v>-1001.116</v>
      </c>
      <c r="L42" s="21">
        <v>-1059.415</v>
      </c>
      <c r="M42" s="21">
        <v>-1041.808</v>
      </c>
      <c r="N42" s="21">
        <v>-1047.45</v>
      </c>
      <c r="O42" s="21">
        <v>-1048.67</v>
      </c>
      <c r="P42" s="21">
        <v>-1052.23</v>
      </c>
      <c r="Q42" s="21">
        <v>-1054.23</v>
      </c>
      <c r="R42" s="21">
        <v>-1060.74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21">
        <v>-604.25699999999995</v>
      </c>
      <c r="I43" s="21">
        <v>-966.56500000000005</v>
      </c>
      <c r="J43" s="21">
        <v>-722.61800000000005</v>
      </c>
      <c r="K43" s="21">
        <v>-771.96400000000006</v>
      </c>
      <c r="L43" s="21">
        <v>-856.26099999999997</v>
      </c>
      <c r="M43" s="21">
        <v>-830</v>
      </c>
      <c r="N43" s="21">
        <v>-858.24</v>
      </c>
      <c r="O43" s="21">
        <v>-813.78</v>
      </c>
      <c r="P43" s="21">
        <v>-836.89</v>
      </c>
      <c r="Q43" s="21">
        <v>-850.87</v>
      </c>
      <c r="R43" s="21">
        <v>-844.41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21">
        <v>-1.8919999999999999</v>
      </c>
      <c r="I44" s="21">
        <v>-1.4379999999999999</v>
      </c>
      <c r="J44" s="21">
        <v>-1.778</v>
      </c>
      <c r="K44" s="21">
        <v>-2.177</v>
      </c>
      <c r="L44" s="21">
        <v>-1.609</v>
      </c>
      <c r="M44" s="21">
        <v>-1.417</v>
      </c>
      <c r="N44" s="21">
        <v>-1.25</v>
      </c>
      <c r="O44" s="21">
        <v>-1.36</v>
      </c>
      <c r="P44" s="21">
        <v>-1.74</v>
      </c>
      <c r="Q44" s="21">
        <v>-1.28</v>
      </c>
      <c r="R44" s="21">
        <v>-1.27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21">
        <v>-101.426</v>
      </c>
      <c r="I45" s="21">
        <v>-105.904</v>
      </c>
      <c r="J45" s="21">
        <v>-110.958</v>
      </c>
      <c r="K45" s="21">
        <v>-91.108999999999995</v>
      </c>
      <c r="L45" s="21">
        <v>-96.9</v>
      </c>
      <c r="M45" s="21">
        <v>-99.706999999999994</v>
      </c>
      <c r="N45" s="21">
        <v>-106.4</v>
      </c>
      <c r="O45" s="21">
        <v>-105.25</v>
      </c>
      <c r="P45" s="21">
        <v>-103.36</v>
      </c>
      <c r="Q45" s="21">
        <v>-103.63</v>
      </c>
      <c r="R45" s="21">
        <v>-103.13</v>
      </c>
    </row>
    <row r="46" spans="1:18" x14ac:dyDescent="0.2">
      <c r="B46" s="2" t="s">
        <v>107</v>
      </c>
      <c r="G46" s="18" t="s">
        <v>108</v>
      </c>
      <c r="H46" s="15">
        <f>H33+H38+H41</f>
        <v>155.38400000000024</v>
      </c>
      <c r="I46" s="15">
        <f t="shared" ref="I46:R46" si="12">I33+I38+I41</f>
        <v>327.13899999999967</v>
      </c>
      <c r="J46" s="15">
        <f t="shared" si="12"/>
        <v>112.91300000000001</v>
      </c>
      <c r="K46" s="15">
        <f t="shared" si="12"/>
        <v>337.46800000000053</v>
      </c>
      <c r="L46" s="15">
        <f t="shared" si="12"/>
        <v>145.94200000000046</v>
      </c>
      <c r="M46" s="15">
        <f t="shared" si="12"/>
        <v>164.46500000000015</v>
      </c>
      <c r="N46" s="15">
        <f t="shared" si="12"/>
        <v>163.94599999999991</v>
      </c>
      <c r="O46" s="15">
        <f t="shared" si="12"/>
        <v>66.230000000000018</v>
      </c>
      <c r="P46" s="15">
        <f t="shared" si="12"/>
        <v>55.210000000000036</v>
      </c>
      <c r="Q46" s="15">
        <f t="shared" si="12"/>
        <v>50.620000000000346</v>
      </c>
      <c r="R46" s="15">
        <f t="shared" si="12"/>
        <v>65.409999999999854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21">
        <v>-16.628</v>
      </c>
      <c r="I47" s="21">
        <v>-11.013999999999999</v>
      </c>
      <c r="J47" s="21">
        <v>-7.9729999999999999</v>
      </c>
      <c r="K47" s="21">
        <v>-5.68</v>
      </c>
      <c r="L47" s="21">
        <v>-2.92</v>
      </c>
      <c r="M47" s="21">
        <v>-1.7450000000000001</v>
      </c>
      <c r="N47" s="21">
        <v>-1.6240000000000001</v>
      </c>
      <c r="O47" s="21">
        <v>-1.276</v>
      </c>
      <c r="P47" s="21">
        <v>-1.008</v>
      </c>
      <c r="Q47" s="21">
        <v>-0.59</v>
      </c>
      <c r="R47" s="21">
        <v>-0.159</v>
      </c>
    </row>
    <row r="48" spans="1:18" x14ac:dyDescent="0.2">
      <c r="B48" s="2" t="s">
        <v>111</v>
      </c>
      <c r="G48" s="18" t="s">
        <v>112</v>
      </c>
      <c r="H48" s="15">
        <f>H46+H47</f>
        <v>138.75600000000026</v>
      </c>
      <c r="I48" s="15">
        <f t="shared" ref="I48:R48" si="13">I46+I47</f>
        <v>316.12499999999966</v>
      </c>
      <c r="J48" s="15">
        <f t="shared" si="13"/>
        <v>104.94000000000001</v>
      </c>
      <c r="K48" s="15">
        <f t="shared" si="13"/>
        <v>331.78800000000052</v>
      </c>
      <c r="L48" s="15">
        <f t="shared" si="13"/>
        <v>143.02200000000047</v>
      </c>
      <c r="M48" s="15">
        <f t="shared" si="13"/>
        <v>162.72000000000014</v>
      </c>
      <c r="N48" s="15">
        <f t="shared" si="13"/>
        <v>162.32199999999992</v>
      </c>
      <c r="O48" s="15">
        <f t="shared" si="13"/>
        <v>64.954000000000022</v>
      </c>
      <c r="P48" s="15">
        <f t="shared" si="13"/>
        <v>54.202000000000034</v>
      </c>
      <c r="Q48" s="15">
        <f t="shared" si="13"/>
        <v>50.030000000000342</v>
      </c>
      <c r="R48" s="15">
        <f t="shared" si="13"/>
        <v>65.250999999999848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x14ac:dyDescent="0.2">
      <c r="B51" s="2" t="s">
        <v>117</v>
      </c>
      <c r="G51" s="18" t="s">
        <v>118</v>
      </c>
      <c r="H51" s="15">
        <f>H48+H49+H50</f>
        <v>138.75600000000026</v>
      </c>
      <c r="I51" s="15">
        <f t="shared" ref="I51:R51" si="14">I48+I49+I50</f>
        <v>316.12499999999966</v>
      </c>
      <c r="J51" s="15">
        <f t="shared" si="14"/>
        <v>104.94000000000001</v>
      </c>
      <c r="K51" s="15">
        <f t="shared" si="14"/>
        <v>331.78800000000052</v>
      </c>
      <c r="L51" s="15">
        <f t="shared" si="14"/>
        <v>143.02200000000047</v>
      </c>
      <c r="M51" s="15">
        <f t="shared" si="14"/>
        <v>162.72000000000014</v>
      </c>
      <c r="N51" s="15">
        <f t="shared" si="14"/>
        <v>162.32199999999992</v>
      </c>
      <c r="O51" s="15">
        <f t="shared" si="14"/>
        <v>64.954000000000022</v>
      </c>
      <c r="P51" s="15">
        <f t="shared" si="14"/>
        <v>54.202000000000034</v>
      </c>
      <c r="Q51" s="15">
        <f t="shared" si="14"/>
        <v>50.030000000000342</v>
      </c>
      <c r="R51" s="15">
        <f t="shared" si="14"/>
        <v>65.250999999999848</v>
      </c>
    </row>
    <row r="52" spans="1:18" x14ac:dyDescent="0.2">
      <c r="A52" s="43"/>
      <c r="C52" s="44"/>
      <c r="D52" s="44"/>
      <c r="E52" s="45"/>
      <c r="F52" s="43"/>
      <c r="G52" s="38" t="s">
        <v>119</v>
      </c>
      <c r="H52" s="39">
        <f>H30-H51</f>
        <v>-2.5579538487363607E-13</v>
      </c>
      <c r="I52" s="39">
        <f t="shared" ref="I52:R52" si="15">I30-I51</f>
        <v>2.0000000003506102E-3</v>
      </c>
      <c r="J52" s="39">
        <f t="shared" si="15"/>
        <v>0</v>
      </c>
      <c r="K52" s="39">
        <f t="shared" si="15"/>
        <v>-1.0000000005447873E-3</v>
      </c>
      <c r="L52" s="39">
        <f t="shared" si="15"/>
        <v>-4.8316906031686813E-13</v>
      </c>
      <c r="M52" s="39">
        <f t="shared" si="15"/>
        <v>0.37899999999984857</v>
      </c>
      <c r="N52" s="39">
        <f t="shared" si="15"/>
        <v>7.8000000000088221E-2</v>
      </c>
      <c r="O52" s="39">
        <f t="shared" si="15"/>
        <v>0.29599999999997806</v>
      </c>
      <c r="P52" s="39">
        <f t="shared" si="15"/>
        <v>-0.42200000000003257</v>
      </c>
      <c r="Q52" s="39">
        <f t="shared" si="15"/>
        <v>0.2199999999996578</v>
      </c>
      <c r="R52" s="39">
        <f t="shared" si="15"/>
        <v>-9.9999999984845545E-4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21">
        <v>48</v>
      </c>
      <c r="I54" s="21">
        <v>61</v>
      </c>
      <c r="J54" s="21">
        <v>67</v>
      </c>
      <c r="K54" s="21">
        <v>71</v>
      </c>
      <c r="L54" s="21">
        <v>76</v>
      </c>
      <c r="M54" s="21">
        <v>77</v>
      </c>
      <c r="N54" s="21">
        <v>79</v>
      </c>
      <c r="O54" s="21">
        <v>78</v>
      </c>
      <c r="P54" s="21">
        <v>77</v>
      </c>
      <c r="Q54" s="21">
        <v>79</v>
      </c>
      <c r="R54" s="21">
        <v>80</v>
      </c>
    </row>
    <row r="55" spans="1:18" ht="12" x14ac:dyDescent="0.2">
      <c r="E55" s="20" t="s">
        <v>14</v>
      </c>
      <c r="G55" s="46" t="s">
        <v>122</v>
      </c>
      <c r="H55" s="21"/>
      <c r="I55" s="21"/>
      <c r="J55" s="21"/>
      <c r="K55" s="21"/>
      <c r="L55" s="47"/>
      <c r="M55" s="47"/>
      <c r="N55" s="47"/>
      <c r="O55" s="47"/>
      <c r="P55" s="47"/>
      <c r="Q55" s="47"/>
      <c r="R55" s="47"/>
    </row>
    <row r="57" spans="1:18" x14ac:dyDescent="0.2">
      <c r="D57" s="49" t="s">
        <v>123</v>
      </c>
      <c r="E57" s="50" t="s">
        <v>3</v>
      </c>
      <c r="F57" s="17"/>
      <c r="G57" s="11" t="s">
        <v>124</v>
      </c>
      <c r="H57" s="41">
        <f>H32</f>
        <v>2011</v>
      </c>
      <c r="I57" s="41">
        <f t="shared" ref="I57:R57" si="16">I32</f>
        <v>2012</v>
      </c>
      <c r="J57" s="41">
        <f t="shared" si="16"/>
        <v>2013</v>
      </c>
      <c r="K57" s="41">
        <f t="shared" si="16"/>
        <v>2014</v>
      </c>
      <c r="L57" s="41">
        <f t="shared" si="16"/>
        <v>2015</v>
      </c>
      <c r="M57" s="41">
        <f t="shared" si="16"/>
        <v>2016</v>
      </c>
      <c r="N57" s="41">
        <f t="shared" si="16"/>
        <v>2017</v>
      </c>
      <c r="O57" s="41">
        <f t="shared" si="16"/>
        <v>2018</v>
      </c>
      <c r="P57" s="41">
        <f t="shared" si="16"/>
        <v>2019</v>
      </c>
      <c r="Q57" s="41">
        <f t="shared" si="16"/>
        <v>2020</v>
      </c>
      <c r="R57" s="41">
        <f t="shared" si="16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14" t="s">
        <v>128</v>
      </c>
      <c r="H58" s="21">
        <v>-20.667999999999999</v>
      </c>
      <c r="I58" s="21">
        <v>-519.99800000000005</v>
      </c>
      <c r="J58" s="21">
        <v>-127.661</v>
      </c>
      <c r="K58" s="21">
        <v>-275.52300000000002</v>
      </c>
      <c r="L58" s="21">
        <v>-19.899999999999999</v>
      </c>
      <c r="M58" s="21">
        <v>-19.013000000000002</v>
      </c>
      <c r="N58" s="21">
        <v>-24.5</v>
      </c>
      <c r="O58" s="21">
        <v>-23.56</v>
      </c>
      <c r="P58" s="21">
        <v>-32.14</v>
      </c>
      <c r="Q58" s="21">
        <v>-27.23</v>
      </c>
      <c r="R58" s="21">
        <v>-30.89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21">
        <v>0</v>
      </c>
      <c r="I59" s="21">
        <v>0</v>
      </c>
      <c r="J59" s="21">
        <v>0.41699999999999998</v>
      </c>
      <c r="K59" s="21">
        <v>3.4969999999999999</v>
      </c>
      <c r="L59" s="21">
        <v>0.25800000000000001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21">
        <v>73.417000000000002</v>
      </c>
      <c r="I60" s="21">
        <v>300.827</v>
      </c>
      <c r="J60" s="21">
        <v>16</v>
      </c>
      <c r="K60" s="21">
        <v>363.01</v>
      </c>
      <c r="L60" s="21">
        <v>-103</v>
      </c>
      <c r="M60" s="21">
        <v>30</v>
      </c>
      <c r="N60" s="21">
        <v>150</v>
      </c>
      <c r="O60" s="21">
        <v>0</v>
      </c>
      <c r="P60" s="21">
        <v>0</v>
      </c>
      <c r="Q60" s="21">
        <v>0</v>
      </c>
      <c r="R60" s="21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21">
        <v>8.3000000000000004E-2</v>
      </c>
      <c r="I70" s="21">
        <v>-0.129</v>
      </c>
      <c r="J70" s="21">
        <v>8.0000000000000002E-3</v>
      </c>
      <c r="K70" s="21">
        <v>1.2999999999999999E-2</v>
      </c>
      <c r="L70" s="21">
        <v>7.0000000000000001E-3</v>
      </c>
      <c r="M70" s="21">
        <v>0</v>
      </c>
      <c r="N70" s="21">
        <v>3.5000000000000003E-2</v>
      </c>
      <c r="O70" s="21">
        <v>3.5000000000000003E-2</v>
      </c>
      <c r="P70" s="21">
        <v>3.5000000000000003E-2</v>
      </c>
      <c r="Q70" s="21">
        <v>0</v>
      </c>
      <c r="R70" s="21">
        <v>0</v>
      </c>
    </row>
    <row r="71" spans="2:18" x14ac:dyDescent="0.2">
      <c r="B71" s="51" t="s">
        <v>162</v>
      </c>
      <c r="D71" s="16"/>
      <c r="E71" s="22"/>
      <c r="F71" s="22"/>
      <c r="G71" s="57" t="s">
        <v>163</v>
      </c>
      <c r="H71" s="15">
        <f t="shared" ref="H71:R71" si="17">SUM(H58:H70)</f>
        <v>52.832000000000001</v>
      </c>
      <c r="I71" s="15">
        <f t="shared" si="17"/>
        <v>-219.30000000000004</v>
      </c>
      <c r="J71" s="15">
        <f t="shared" si="17"/>
        <v>-111.236</v>
      </c>
      <c r="K71" s="15">
        <f t="shared" si="17"/>
        <v>90.996999999999986</v>
      </c>
      <c r="L71" s="15">
        <f t="shared" si="17"/>
        <v>-122.63499999999999</v>
      </c>
      <c r="M71" s="15">
        <f t="shared" si="17"/>
        <v>10.986999999999998</v>
      </c>
      <c r="N71" s="15">
        <f t="shared" si="17"/>
        <v>125.535</v>
      </c>
      <c r="O71" s="15">
        <f t="shared" si="17"/>
        <v>-23.524999999999999</v>
      </c>
      <c r="P71" s="15">
        <f t="shared" si="17"/>
        <v>-32.105000000000004</v>
      </c>
      <c r="Q71" s="15">
        <f t="shared" si="17"/>
        <v>-27.23</v>
      </c>
      <c r="R71" s="15">
        <f t="shared" si="17"/>
        <v>-30.89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11" t="s">
        <v>164</v>
      </c>
      <c r="H73" s="41">
        <f t="shared" ref="H73:R73" si="18">H57</f>
        <v>2011</v>
      </c>
      <c r="I73" s="41">
        <f t="shared" si="18"/>
        <v>2012</v>
      </c>
      <c r="J73" s="41">
        <f t="shared" si="18"/>
        <v>2013</v>
      </c>
      <c r="K73" s="41">
        <f t="shared" si="18"/>
        <v>2014</v>
      </c>
      <c r="L73" s="41">
        <f t="shared" si="18"/>
        <v>2015</v>
      </c>
      <c r="M73" s="41">
        <f t="shared" si="18"/>
        <v>2016</v>
      </c>
      <c r="N73" s="41">
        <f t="shared" si="18"/>
        <v>2017</v>
      </c>
      <c r="O73" s="41">
        <f t="shared" si="18"/>
        <v>2018</v>
      </c>
      <c r="P73" s="41">
        <f t="shared" si="18"/>
        <v>2019</v>
      </c>
      <c r="Q73" s="41">
        <f t="shared" si="18"/>
        <v>2020</v>
      </c>
      <c r="R73" s="41">
        <f t="shared" si="18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14" t="s">
        <v>167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21">
        <v>0</v>
      </c>
      <c r="I76" s="21">
        <v>180.071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21">
        <v>-242.203</v>
      </c>
      <c r="I77" s="21">
        <v>-49.917999999999999</v>
      </c>
      <c r="J77" s="21">
        <v>-119.596</v>
      </c>
      <c r="K77" s="21">
        <v>-119.596</v>
      </c>
      <c r="L77" s="21">
        <v>-90.563999999999993</v>
      </c>
      <c r="M77" s="21">
        <v>-49.917999999999999</v>
      </c>
      <c r="N77" s="21">
        <v>-49.917999999999999</v>
      </c>
      <c r="O77" s="21">
        <v>-49.917999999999999</v>
      </c>
      <c r="P77" s="21">
        <v>-49.918999999999997</v>
      </c>
      <c r="Q77" s="21">
        <v>-49.918999999999997</v>
      </c>
      <c r="R77" s="21">
        <v>-49.918999999999997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21">
        <v>-16.710999999999999</v>
      </c>
      <c r="I79" s="21">
        <v>-10.885</v>
      </c>
      <c r="J79" s="21">
        <v>-7.9809999999999999</v>
      </c>
      <c r="K79" s="21">
        <v>-5.6929999999999996</v>
      </c>
      <c r="L79" s="21">
        <v>-2.927</v>
      </c>
      <c r="M79" s="21">
        <v>-1.5629999999999999</v>
      </c>
      <c r="N79" s="21">
        <v>-1.4239999999999999</v>
      </c>
      <c r="O79" s="21">
        <v>-1.1459999999999999</v>
      </c>
      <c r="P79" s="21">
        <v>-0.86799999999999999</v>
      </c>
      <c r="Q79" s="21">
        <v>-0.59199999999999997</v>
      </c>
      <c r="R79" s="21">
        <v>-0.312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59" t="s">
        <v>114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</row>
    <row r="85" spans="1:18" x14ac:dyDescent="0.2">
      <c r="B85" s="2" t="s">
        <v>192</v>
      </c>
      <c r="G85" s="59" t="s">
        <v>163</v>
      </c>
      <c r="H85" s="15">
        <f t="shared" ref="H85:R85" si="19">SUM(H74:H84)</f>
        <v>-258.91399999999999</v>
      </c>
      <c r="I85" s="15">
        <f t="shared" si="19"/>
        <v>119.26799999999999</v>
      </c>
      <c r="J85" s="15">
        <f t="shared" si="19"/>
        <v>-127.577</v>
      </c>
      <c r="K85" s="15">
        <f t="shared" si="19"/>
        <v>-125.289</v>
      </c>
      <c r="L85" s="15">
        <f t="shared" si="19"/>
        <v>-93.491</v>
      </c>
      <c r="M85" s="15">
        <f t="shared" si="19"/>
        <v>-51.481000000000002</v>
      </c>
      <c r="N85" s="15">
        <f t="shared" si="19"/>
        <v>-51.341999999999999</v>
      </c>
      <c r="O85" s="15">
        <f t="shared" si="19"/>
        <v>-51.064</v>
      </c>
      <c r="P85" s="15">
        <f t="shared" si="19"/>
        <v>-50.786999999999999</v>
      </c>
      <c r="Q85" s="15">
        <f t="shared" si="19"/>
        <v>-50.510999999999996</v>
      </c>
      <c r="R85" s="15">
        <f t="shared" si="19"/>
        <v>-50.230999999999995</v>
      </c>
    </row>
    <row r="87" spans="1:18" x14ac:dyDescent="0.2">
      <c r="A87" s="23" t="s">
        <v>0</v>
      </c>
      <c r="D87" s="1279" t="s">
        <v>193</v>
      </c>
      <c r="E87" s="1280"/>
      <c r="G87" s="11" t="s">
        <v>194</v>
      </c>
      <c r="H87" s="41">
        <f t="shared" ref="H87:R87" si="20">H32</f>
        <v>2011</v>
      </c>
      <c r="I87" s="41">
        <f t="shared" si="20"/>
        <v>2012</v>
      </c>
      <c r="J87" s="41">
        <f t="shared" si="20"/>
        <v>2013</v>
      </c>
      <c r="K87" s="41">
        <f t="shared" si="20"/>
        <v>2014</v>
      </c>
      <c r="L87" s="41">
        <f t="shared" si="20"/>
        <v>2015</v>
      </c>
      <c r="M87" s="41">
        <f t="shared" si="20"/>
        <v>2016</v>
      </c>
      <c r="N87" s="41">
        <f t="shared" si="20"/>
        <v>2017</v>
      </c>
      <c r="O87" s="41">
        <f t="shared" si="20"/>
        <v>2018</v>
      </c>
      <c r="P87" s="41">
        <f t="shared" si="20"/>
        <v>2019</v>
      </c>
      <c r="Q87" s="41">
        <f t="shared" si="20"/>
        <v>2020</v>
      </c>
      <c r="R87" s="41">
        <f t="shared" si="20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60"/>
      <c r="G88" s="14" t="s">
        <v>198</v>
      </c>
      <c r="H88" s="15">
        <f>H46+H71</f>
        <v>208.21600000000024</v>
      </c>
      <c r="I88" s="15">
        <f t="shared" ref="I88:R88" si="21">I46+I71</f>
        <v>107.83899999999963</v>
      </c>
      <c r="J88" s="15">
        <f t="shared" si="21"/>
        <v>1.6770000000000067</v>
      </c>
      <c r="K88" s="15">
        <f t="shared" si="21"/>
        <v>428.46500000000049</v>
      </c>
      <c r="L88" s="15">
        <f t="shared" si="21"/>
        <v>23.307000000000471</v>
      </c>
      <c r="M88" s="15">
        <f t="shared" si="21"/>
        <v>175.45200000000014</v>
      </c>
      <c r="N88" s="15">
        <f t="shared" si="21"/>
        <v>289.48099999999988</v>
      </c>
      <c r="O88" s="15">
        <f t="shared" si="21"/>
        <v>42.70500000000002</v>
      </c>
      <c r="P88" s="15">
        <f t="shared" si="21"/>
        <v>23.105000000000032</v>
      </c>
      <c r="Q88" s="15">
        <f t="shared" si="21"/>
        <v>23.390000000000345</v>
      </c>
      <c r="R88" s="15">
        <f t="shared" si="21"/>
        <v>34.519999999999854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60"/>
      <c r="G89" s="14" t="s">
        <v>202</v>
      </c>
      <c r="H89" s="61">
        <f t="shared" ref="H89:R89" si="22">H33+H38+H41-H45</f>
        <v>256.81000000000023</v>
      </c>
      <c r="I89" s="15">
        <f t="shared" si="22"/>
        <v>433.04299999999967</v>
      </c>
      <c r="J89" s="15">
        <f t="shared" si="22"/>
        <v>223.87100000000001</v>
      </c>
      <c r="K89" s="15">
        <f t="shared" si="22"/>
        <v>428.57700000000051</v>
      </c>
      <c r="L89" s="15">
        <f t="shared" si="22"/>
        <v>242.84200000000047</v>
      </c>
      <c r="M89" s="15">
        <f t="shared" si="22"/>
        <v>264.17200000000014</v>
      </c>
      <c r="N89" s="15">
        <f t="shared" si="22"/>
        <v>270.34599999999989</v>
      </c>
      <c r="O89" s="15">
        <f t="shared" si="22"/>
        <v>171.48000000000002</v>
      </c>
      <c r="P89" s="15">
        <f t="shared" si="22"/>
        <v>158.57000000000005</v>
      </c>
      <c r="Q89" s="15">
        <f t="shared" si="22"/>
        <v>154.25000000000034</v>
      </c>
      <c r="R89" s="15">
        <f t="shared" si="22"/>
        <v>168.53999999999985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62">
        <v>0</v>
      </c>
      <c r="G90" s="59" t="s">
        <v>206</v>
      </c>
      <c r="H90" s="63">
        <f t="shared" ref="H90:R90" si="23">H89/H33</f>
        <v>0.16377321863702382</v>
      </c>
      <c r="I90" s="64">
        <f t="shared" si="23"/>
        <v>0.19223091343232154</v>
      </c>
      <c r="J90" s="64">
        <f t="shared" si="23"/>
        <v>0.12371331706818377</v>
      </c>
      <c r="K90" s="64">
        <f t="shared" si="23"/>
        <v>0.19445999744093992</v>
      </c>
      <c r="L90" s="64">
        <f t="shared" si="23"/>
        <v>0.11241503786407653</v>
      </c>
      <c r="M90" s="64">
        <f t="shared" si="23"/>
        <v>0.1235951954643897</v>
      </c>
      <c r="N90" s="64">
        <f t="shared" si="23"/>
        <v>0.12416650821251773</v>
      </c>
      <c r="O90" s="64">
        <f t="shared" si="23"/>
        <v>8.4253349645505071E-2</v>
      </c>
      <c r="P90" s="64">
        <f t="shared" si="23"/>
        <v>7.7372732906222735E-2</v>
      </c>
      <c r="Q90" s="64">
        <f t="shared" si="23"/>
        <v>7.4855747999398398E-2</v>
      </c>
      <c r="R90" s="64">
        <f t="shared" si="23"/>
        <v>8.1225662181439562E-2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60"/>
      <c r="G91" s="18" t="s">
        <v>210</v>
      </c>
      <c r="H91" s="65">
        <f t="shared" ref="H91:R91" si="24">-H33/(H38+H41)</f>
        <v>1.1099908756217709</v>
      </c>
      <c r="I91" s="65">
        <f t="shared" si="24"/>
        <v>1.1698907967660719</v>
      </c>
      <c r="J91" s="65">
        <f t="shared" si="24"/>
        <v>1.0665493003403113</v>
      </c>
      <c r="K91" s="65">
        <f t="shared" si="24"/>
        <v>1.1808058652019382</v>
      </c>
      <c r="L91" s="65">
        <f t="shared" si="24"/>
        <v>1.072453500870036</v>
      </c>
      <c r="M91" s="65">
        <f t="shared" si="24"/>
        <v>1.0833607037647521</v>
      </c>
      <c r="N91" s="65">
        <f t="shared" si="24"/>
        <v>1.0814298628150238</v>
      </c>
      <c r="O91" s="65">
        <f t="shared" si="24"/>
        <v>1.033635338689527</v>
      </c>
      <c r="P91" s="65">
        <f t="shared" si="24"/>
        <v>1.0276850096779693</v>
      </c>
      <c r="Q91" s="65">
        <f t="shared" si="24"/>
        <v>1.0251839543086851</v>
      </c>
      <c r="R91" s="65">
        <f t="shared" si="24"/>
        <v>1.0325495757756711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60"/>
      <c r="G92" s="14" t="s">
        <v>214</v>
      </c>
      <c r="H92" s="61">
        <f>H46</f>
        <v>155.38400000000024</v>
      </c>
      <c r="I92" s="61">
        <f t="shared" ref="I92:R92" si="25">I46</f>
        <v>327.13899999999967</v>
      </c>
      <c r="J92" s="61">
        <f t="shared" si="25"/>
        <v>112.91300000000001</v>
      </c>
      <c r="K92" s="61">
        <f t="shared" si="25"/>
        <v>337.46800000000053</v>
      </c>
      <c r="L92" s="61">
        <f t="shared" si="25"/>
        <v>145.94200000000046</v>
      </c>
      <c r="M92" s="61">
        <f t="shared" si="25"/>
        <v>164.46500000000015</v>
      </c>
      <c r="N92" s="61">
        <f t="shared" si="25"/>
        <v>163.94599999999991</v>
      </c>
      <c r="O92" s="61">
        <f t="shared" si="25"/>
        <v>66.230000000000018</v>
      </c>
      <c r="P92" s="61">
        <f t="shared" si="25"/>
        <v>55.210000000000036</v>
      </c>
      <c r="Q92" s="61">
        <f t="shared" si="25"/>
        <v>50.620000000000346</v>
      </c>
      <c r="R92" s="61">
        <f t="shared" si="25"/>
        <v>65.409999999999854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62">
        <v>-0.3</v>
      </c>
      <c r="E93" s="62">
        <v>0</v>
      </c>
      <c r="G93" s="18" t="s">
        <v>218</v>
      </c>
      <c r="H93" s="66">
        <f>H46/H33</f>
        <v>9.9091693488163726E-2</v>
      </c>
      <c r="I93" s="67">
        <f t="shared" ref="I93:R93" si="26">I46/I33</f>
        <v>0.14521936341041472</v>
      </c>
      <c r="J93" s="67">
        <f t="shared" si="26"/>
        <v>6.2396834650847291E-2</v>
      </c>
      <c r="K93" s="67">
        <f t="shared" si="26"/>
        <v>0.15312073773534077</v>
      </c>
      <c r="L93" s="67">
        <f t="shared" si="26"/>
        <v>6.7558640828024291E-2</v>
      </c>
      <c r="M93" s="67">
        <f t="shared" si="26"/>
        <v>7.6946397884903997E-2</v>
      </c>
      <c r="N93" s="67">
        <f t="shared" si="26"/>
        <v>7.5298330122914453E-2</v>
      </c>
      <c r="O93" s="67">
        <f t="shared" si="26"/>
        <v>3.254081727911011E-2</v>
      </c>
      <c r="P93" s="67">
        <f t="shared" si="26"/>
        <v>2.6939197728148821E-2</v>
      </c>
      <c r="Q93" s="67">
        <f t="shared" si="26"/>
        <v>2.4565302844275945E-2</v>
      </c>
      <c r="R93" s="67">
        <f t="shared" si="26"/>
        <v>3.1523499248178211E-2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60"/>
      <c r="G94" s="59" t="s">
        <v>222</v>
      </c>
      <c r="H94" s="61">
        <f>H29+H30</f>
        <v>2045.001</v>
      </c>
      <c r="I94" s="61">
        <f t="shared" ref="I94:R94" si="27">I29+I30</f>
        <v>2361.1280000000002</v>
      </c>
      <c r="J94" s="61">
        <f t="shared" si="27"/>
        <v>2466.0680000000002</v>
      </c>
      <c r="K94" s="61">
        <f t="shared" si="27"/>
        <v>2797.855</v>
      </c>
      <c r="L94" s="61">
        <f t="shared" si="27"/>
        <v>2940.877</v>
      </c>
      <c r="M94" s="61">
        <f t="shared" si="27"/>
        <v>3103.9760000000001</v>
      </c>
      <c r="N94" s="61">
        <f t="shared" si="27"/>
        <v>3266.3760000000002</v>
      </c>
      <c r="O94" s="61">
        <f t="shared" si="27"/>
        <v>3331.6260000000002</v>
      </c>
      <c r="P94" s="61">
        <f t="shared" si="27"/>
        <v>3385.4060000000004</v>
      </c>
      <c r="Q94" s="61">
        <f t="shared" si="27"/>
        <v>3435.6560000000004</v>
      </c>
      <c r="R94" s="61">
        <f t="shared" si="27"/>
        <v>3500.9060000000004</v>
      </c>
    </row>
    <row r="95" spans="1:18" x14ac:dyDescent="0.2">
      <c r="G95" s="68" t="s">
        <v>223</v>
      </c>
      <c r="H95" s="41">
        <f t="shared" ref="H95:R95" si="28">H87</f>
        <v>2011</v>
      </c>
      <c r="I95" s="41">
        <f t="shared" si="28"/>
        <v>2012</v>
      </c>
      <c r="J95" s="41">
        <f t="shared" si="28"/>
        <v>2013</v>
      </c>
      <c r="K95" s="41">
        <f t="shared" si="28"/>
        <v>2014</v>
      </c>
      <c r="L95" s="41">
        <f t="shared" si="28"/>
        <v>2015</v>
      </c>
      <c r="M95" s="41">
        <f t="shared" si="28"/>
        <v>2016</v>
      </c>
      <c r="N95" s="41">
        <f t="shared" si="28"/>
        <v>2017</v>
      </c>
      <c r="O95" s="41">
        <f t="shared" si="28"/>
        <v>2018</v>
      </c>
      <c r="P95" s="41">
        <f t="shared" si="28"/>
        <v>2019</v>
      </c>
      <c r="Q95" s="41">
        <f t="shared" si="28"/>
        <v>2020</v>
      </c>
      <c r="R95" s="41">
        <f t="shared" si="28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60"/>
      <c r="F96" s="69"/>
      <c r="G96" s="14" t="s">
        <v>227</v>
      </c>
      <c r="H96" s="61">
        <f t="shared" ref="H96:R96" si="29">H6+H12</f>
        <v>256.60399999999998</v>
      </c>
      <c r="I96" s="15">
        <f t="shared" si="29"/>
        <v>32.432000000000002</v>
      </c>
      <c r="J96" s="15">
        <f t="shared" si="29"/>
        <v>12.24</v>
      </c>
      <c r="K96" s="15">
        <f t="shared" si="29"/>
        <v>114.276</v>
      </c>
      <c r="L96" s="15">
        <f t="shared" si="29"/>
        <v>19.794</v>
      </c>
      <c r="M96" s="15">
        <f t="shared" si="29"/>
        <v>50.360999999999997</v>
      </c>
      <c r="N96" s="15">
        <f t="shared" si="29"/>
        <v>36.28</v>
      </c>
      <c r="O96" s="15">
        <f t="shared" si="29"/>
        <v>39.35</v>
      </c>
      <c r="P96" s="15">
        <f t="shared" si="29"/>
        <v>40.36</v>
      </c>
      <c r="Q96" s="15">
        <f t="shared" si="29"/>
        <v>39.24</v>
      </c>
      <c r="R96" s="15">
        <f t="shared" si="29"/>
        <v>43.23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60"/>
      <c r="F97" s="69"/>
      <c r="G97" s="18" t="s">
        <v>230</v>
      </c>
      <c r="H97" s="61">
        <f>H19</f>
        <v>898.50399999999991</v>
      </c>
      <c r="I97" s="61">
        <f t="shared" ref="I97:R97" si="30">I19</f>
        <v>786.36500000000001</v>
      </c>
      <c r="J97" s="61">
        <f t="shared" si="30"/>
        <v>681.64400000000001</v>
      </c>
      <c r="K97" s="61">
        <f t="shared" si="30"/>
        <v>651.82799999999997</v>
      </c>
      <c r="L97" s="61">
        <f t="shared" si="30"/>
        <v>446.08199999999999</v>
      </c>
      <c r="M97" s="61">
        <f t="shared" si="30"/>
        <v>433.53899999999999</v>
      </c>
      <c r="N97" s="61">
        <f t="shared" si="30"/>
        <v>384.49299999999999</v>
      </c>
      <c r="O97" s="61">
        <f t="shared" si="30"/>
        <v>330.88400000000001</v>
      </c>
      <c r="P97" s="61">
        <f t="shared" si="30"/>
        <v>280.346</v>
      </c>
      <c r="Q97" s="61">
        <f t="shared" si="30"/>
        <v>231.167</v>
      </c>
      <c r="R97" s="61">
        <f t="shared" si="30"/>
        <v>179.02799999999999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60"/>
      <c r="F98" s="69"/>
      <c r="G98" s="18" t="s">
        <v>234</v>
      </c>
      <c r="H98" s="61">
        <f t="shared" ref="H98:R98" si="31">H97-H96</f>
        <v>641.89999999999986</v>
      </c>
      <c r="I98" s="15">
        <f t="shared" si="31"/>
        <v>753.93299999999999</v>
      </c>
      <c r="J98" s="15">
        <f t="shared" si="31"/>
        <v>669.404</v>
      </c>
      <c r="K98" s="15">
        <f t="shared" si="31"/>
        <v>537.55200000000002</v>
      </c>
      <c r="L98" s="15">
        <f t="shared" si="31"/>
        <v>426.28800000000001</v>
      </c>
      <c r="M98" s="15">
        <f t="shared" si="31"/>
        <v>383.178</v>
      </c>
      <c r="N98" s="15">
        <f t="shared" si="31"/>
        <v>348.21299999999997</v>
      </c>
      <c r="O98" s="15">
        <f t="shared" si="31"/>
        <v>291.53399999999999</v>
      </c>
      <c r="P98" s="15">
        <f t="shared" si="31"/>
        <v>239.98599999999999</v>
      </c>
      <c r="Q98" s="15">
        <f t="shared" si="31"/>
        <v>191.92699999999999</v>
      </c>
      <c r="R98" s="15">
        <f t="shared" si="31"/>
        <v>135.798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62">
        <v>0.4</v>
      </c>
      <c r="F99" s="69"/>
      <c r="G99" s="18" t="s">
        <v>238</v>
      </c>
      <c r="H99" s="70">
        <f t="shared" ref="H99:R99" si="32">H98/H33</f>
        <v>0.40935333142442065</v>
      </c>
      <c r="I99" s="64">
        <f t="shared" si="32"/>
        <v>0.33467630063705123</v>
      </c>
      <c r="J99" s="64">
        <f t="shared" si="32"/>
        <v>0.36991923607215976</v>
      </c>
      <c r="K99" s="64">
        <f t="shared" si="32"/>
        <v>0.2439056704964849</v>
      </c>
      <c r="L99" s="64">
        <f t="shared" si="32"/>
        <v>0.19733481712801476</v>
      </c>
      <c r="M99" s="64">
        <f t="shared" si="32"/>
        <v>0.17927320006531308</v>
      </c>
      <c r="N99" s="64">
        <f t="shared" si="32"/>
        <v>0.15992983925859991</v>
      </c>
      <c r="O99" s="64">
        <f t="shared" si="32"/>
        <v>0.14323953834588682</v>
      </c>
      <c r="P99" s="64">
        <f t="shared" si="32"/>
        <v>0.11709890066994239</v>
      </c>
      <c r="Q99" s="64">
        <f t="shared" si="32"/>
        <v>9.313996205044088E-2</v>
      </c>
      <c r="R99" s="64">
        <f t="shared" si="32"/>
        <v>6.5446080888306279E-2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71">
        <v>0</v>
      </c>
      <c r="E100" s="71">
        <v>5</v>
      </c>
      <c r="F100" s="69"/>
      <c r="G100" s="18" t="s">
        <v>242</v>
      </c>
      <c r="H100" s="65">
        <f t="shared" ref="H100:R100" si="33">H98/H89</f>
        <v>2.4995132588294822</v>
      </c>
      <c r="I100" s="65">
        <f t="shared" si="33"/>
        <v>1.7410118625633033</v>
      </c>
      <c r="J100" s="65">
        <f t="shared" si="33"/>
        <v>2.9901327103555171</v>
      </c>
      <c r="K100" s="65">
        <f t="shared" si="33"/>
        <v>1.2542716944679704</v>
      </c>
      <c r="L100" s="65">
        <f t="shared" si="33"/>
        <v>1.7554129845743289</v>
      </c>
      <c r="M100" s="65">
        <f t="shared" si="33"/>
        <v>1.4504868040519048</v>
      </c>
      <c r="N100" s="65">
        <f t="shared" si="33"/>
        <v>1.288027194780023</v>
      </c>
      <c r="O100" s="65">
        <f t="shared" si="33"/>
        <v>1.7001049685094469</v>
      </c>
      <c r="P100" s="65">
        <f t="shared" si="33"/>
        <v>1.5134388598095474</v>
      </c>
      <c r="Q100" s="65">
        <f t="shared" si="33"/>
        <v>1.2442593192868692</v>
      </c>
      <c r="R100" s="65">
        <f t="shared" si="33"/>
        <v>0.80573157707369247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60"/>
      <c r="F101" s="69"/>
      <c r="G101" s="18" t="s">
        <v>246</v>
      </c>
      <c r="H101" s="61">
        <f t="shared" ref="H101:R101" si="34">-(H75+H77+H78+H79+H80+H81)</f>
        <v>258.91399999999999</v>
      </c>
      <c r="I101" s="61">
        <f t="shared" si="34"/>
        <v>60.802999999999997</v>
      </c>
      <c r="J101" s="61">
        <f t="shared" si="34"/>
        <v>127.577</v>
      </c>
      <c r="K101" s="61">
        <f t="shared" si="34"/>
        <v>125.289</v>
      </c>
      <c r="L101" s="61">
        <f t="shared" si="34"/>
        <v>93.491</v>
      </c>
      <c r="M101" s="61">
        <f t="shared" si="34"/>
        <v>51.481000000000002</v>
      </c>
      <c r="N101" s="61">
        <f t="shared" si="34"/>
        <v>51.341999999999999</v>
      </c>
      <c r="O101" s="61">
        <f t="shared" si="34"/>
        <v>51.064</v>
      </c>
      <c r="P101" s="61">
        <f t="shared" si="34"/>
        <v>50.786999999999999</v>
      </c>
      <c r="Q101" s="61">
        <f t="shared" si="34"/>
        <v>50.510999999999996</v>
      </c>
      <c r="R101" s="61">
        <f t="shared" si="34"/>
        <v>50.230999999999995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71">
        <v>1.2</v>
      </c>
      <c r="F102" s="69"/>
      <c r="G102" s="18" t="s">
        <v>250</v>
      </c>
      <c r="H102" s="72">
        <f t="shared" ref="H102:R102" si="35">H89/H101</f>
        <v>0.99187374958480512</v>
      </c>
      <c r="I102" s="65">
        <f t="shared" si="35"/>
        <v>7.122066345410583</v>
      </c>
      <c r="J102" s="65">
        <f t="shared" si="35"/>
        <v>1.7547912241234707</v>
      </c>
      <c r="K102" s="65">
        <f t="shared" si="35"/>
        <v>3.4207073246653779</v>
      </c>
      <c r="L102" s="65">
        <f t="shared" si="35"/>
        <v>2.5974906675508924</v>
      </c>
      <c r="M102" s="65">
        <f t="shared" si="35"/>
        <v>5.1314465530972617</v>
      </c>
      <c r="N102" s="65">
        <f t="shared" si="35"/>
        <v>5.2655915235090163</v>
      </c>
      <c r="O102" s="65">
        <f t="shared" si="35"/>
        <v>3.3581388062039799</v>
      </c>
      <c r="P102" s="65">
        <f t="shared" si="35"/>
        <v>3.1222556953551117</v>
      </c>
      <c r="Q102" s="65">
        <f t="shared" si="35"/>
        <v>3.0537902635069658</v>
      </c>
      <c r="R102" s="65">
        <f t="shared" si="35"/>
        <v>3.3552985208337454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71">
        <v>0</v>
      </c>
      <c r="F103" s="69"/>
      <c r="G103" s="14" t="s">
        <v>254</v>
      </c>
      <c r="H103" s="61">
        <f t="shared" ref="H103:R103" si="36">H5-H20</f>
        <v>-100.99099999999999</v>
      </c>
      <c r="I103" s="61">
        <f t="shared" si="36"/>
        <v>-138.482</v>
      </c>
      <c r="J103" s="61">
        <f t="shared" si="36"/>
        <v>-169.06700000000001</v>
      </c>
      <c r="K103" s="61">
        <f t="shared" si="36"/>
        <v>-111.05699999999996</v>
      </c>
      <c r="L103" s="61">
        <f t="shared" si="36"/>
        <v>-60.325000000000017</v>
      </c>
      <c r="M103" s="61">
        <f t="shared" si="36"/>
        <v>-32.296999999999997</v>
      </c>
      <c r="N103" s="61">
        <f t="shared" si="36"/>
        <v>-66.337999999999994</v>
      </c>
      <c r="O103" s="61">
        <f t="shared" si="36"/>
        <v>-52.548000000000002</v>
      </c>
      <c r="P103" s="61">
        <f t="shared" si="36"/>
        <v>-49.837999999999994</v>
      </c>
      <c r="Q103" s="61">
        <f t="shared" si="36"/>
        <v>-50.768999999999977</v>
      </c>
      <c r="R103" s="61">
        <f t="shared" si="36"/>
        <v>-38.191000000000003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71">
        <v>1</v>
      </c>
      <c r="F104" s="69"/>
      <c r="G104" s="18" t="s">
        <v>258</v>
      </c>
      <c r="H104" s="72">
        <f t="shared" ref="H104:R104" si="37">H5/H20</f>
        <v>0.75965453805531291</v>
      </c>
      <c r="I104" s="72">
        <f t="shared" si="37"/>
        <v>0.44064852812873623</v>
      </c>
      <c r="J104" s="72">
        <f t="shared" si="37"/>
        <v>0.35581499022674706</v>
      </c>
      <c r="K104" s="72">
        <f t="shared" si="37"/>
        <v>0.65638091819875133</v>
      </c>
      <c r="L104" s="72">
        <f t="shared" si="37"/>
        <v>0.63957316380973994</v>
      </c>
      <c r="M104" s="72">
        <f t="shared" si="37"/>
        <v>0.84225821261465428</v>
      </c>
      <c r="N104" s="72">
        <f t="shared" si="37"/>
        <v>0.67737260356583573</v>
      </c>
      <c r="O104" s="72">
        <f t="shared" si="37"/>
        <v>0.73961389043050818</v>
      </c>
      <c r="P104" s="72">
        <f t="shared" si="37"/>
        <v>0.75236760774726974</v>
      </c>
      <c r="Q104" s="72">
        <f t="shared" si="37"/>
        <v>0.74882871829376296</v>
      </c>
      <c r="R104" s="72">
        <f t="shared" si="37"/>
        <v>0.80926529858013996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71">
        <v>1</v>
      </c>
      <c r="F105" s="69"/>
      <c r="G105" s="59" t="s">
        <v>262</v>
      </c>
      <c r="H105" s="72">
        <f t="shared" ref="H105:R105" si="38">-H6/((H38+H41-H45+H47)/12)</f>
        <v>2.3188837119634673</v>
      </c>
      <c r="I105" s="72">
        <f t="shared" si="38"/>
        <v>0.21258823156682657</v>
      </c>
      <c r="J105" s="72">
        <f t="shared" si="38"/>
        <v>9.2163064873686792E-2</v>
      </c>
      <c r="K105" s="72">
        <f t="shared" si="38"/>
        <v>0.76995143840358171</v>
      </c>
      <c r="L105" s="72">
        <f t="shared" si="38"/>
        <v>0.12369285087525161</v>
      </c>
      <c r="M105" s="72">
        <f t="shared" si="38"/>
        <v>0.32231555704891279</v>
      </c>
      <c r="N105" s="72">
        <f t="shared" si="38"/>
        <v>0.22810867227926337</v>
      </c>
      <c r="O105" s="72">
        <f t="shared" si="38"/>
        <v>0.25317867379842002</v>
      </c>
      <c r="P105" s="72">
        <f t="shared" si="38"/>
        <v>0.25600094721196193</v>
      </c>
      <c r="Q105" s="72">
        <f t="shared" si="38"/>
        <v>0.24692575132277914</v>
      </c>
      <c r="R105" s="72">
        <f t="shared" si="38"/>
        <v>0.27208943348269332</v>
      </c>
    </row>
    <row r="106" spans="1:18" x14ac:dyDescent="0.2">
      <c r="C106" s="16"/>
      <c r="F106" s="69"/>
      <c r="G106" s="68" t="s">
        <v>263</v>
      </c>
      <c r="H106" s="41">
        <f t="shared" ref="H106:R106" si="39">H95</f>
        <v>2011</v>
      </c>
      <c r="I106" s="41">
        <f t="shared" si="39"/>
        <v>2012</v>
      </c>
      <c r="J106" s="41">
        <f t="shared" si="39"/>
        <v>2013</v>
      </c>
      <c r="K106" s="41">
        <f t="shared" si="39"/>
        <v>2014</v>
      </c>
      <c r="L106" s="41">
        <f t="shared" si="39"/>
        <v>2015</v>
      </c>
      <c r="M106" s="41">
        <f t="shared" si="39"/>
        <v>2016</v>
      </c>
      <c r="N106" s="41">
        <f t="shared" si="39"/>
        <v>2017</v>
      </c>
      <c r="O106" s="41">
        <f t="shared" si="39"/>
        <v>2018</v>
      </c>
      <c r="P106" s="41">
        <f t="shared" si="39"/>
        <v>2019</v>
      </c>
      <c r="Q106" s="41">
        <f t="shared" si="39"/>
        <v>2020</v>
      </c>
      <c r="R106" s="41">
        <f t="shared" si="39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62">
        <v>0.6</v>
      </c>
      <c r="F107" s="69"/>
      <c r="G107" s="14" t="s">
        <v>267</v>
      </c>
      <c r="H107" s="70">
        <f t="shared" ref="H107:R107" si="40">H17/H4</f>
        <v>0</v>
      </c>
      <c r="I107" s="70">
        <f t="shared" si="40"/>
        <v>0</v>
      </c>
      <c r="J107" s="70">
        <f t="shared" si="40"/>
        <v>0</v>
      </c>
      <c r="K107" s="70">
        <f t="shared" si="40"/>
        <v>0</v>
      </c>
      <c r="L107" s="70">
        <f t="shared" si="40"/>
        <v>0</v>
      </c>
      <c r="M107" s="70">
        <f t="shared" si="40"/>
        <v>0</v>
      </c>
      <c r="N107" s="70">
        <f t="shared" si="40"/>
        <v>0</v>
      </c>
      <c r="O107" s="70">
        <f t="shared" si="40"/>
        <v>0</v>
      </c>
      <c r="P107" s="70">
        <f t="shared" si="40"/>
        <v>0</v>
      </c>
      <c r="Q107" s="70">
        <f t="shared" si="40"/>
        <v>0</v>
      </c>
      <c r="R107" s="70">
        <f t="shared" si="40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62">
        <v>0.4</v>
      </c>
      <c r="F108" s="69"/>
      <c r="G108" s="59" t="s">
        <v>271</v>
      </c>
      <c r="H108" s="70" t="e">
        <f t="shared" ref="H108:R108" si="41">H27/H17</f>
        <v>#DIV/0!</v>
      </c>
      <c r="I108" s="70" t="e">
        <f t="shared" si="41"/>
        <v>#DIV/0!</v>
      </c>
      <c r="J108" s="70" t="e">
        <f t="shared" si="41"/>
        <v>#DIV/0!</v>
      </c>
      <c r="K108" s="70" t="e">
        <f t="shared" si="41"/>
        <v>#DIV/0!</v>
      </c>
      <c r="L108" s="70" t="e">
        <f t="shared" si="41"/>
        <v>#DIV/0!</v>
      </c>
      <c r="M108" s="70" t="e">
        <f t="shared" si="41"/>
        <v>#DIV/0!</v>
      </c>
      <c r="N108" s="70" t="e">
        <f t="shared" si="41"/>
        <v>#DIV/0!</v>
      </c>
      <c r="O108" s="70" t="e">
        <f t="shared" si="41"/>
        <v>#DIV/0!</v>
      </c>
      <c r="P108" s="70" t="e">
        <f t="shared" si="41"/>
        <v>#DIV/0!</v>
      </c>
      <c r="Q108" s="70" t="e">
        <f t="shared" si="41"/>
        <v>#DIV/0!</v>
      </c>
      <c r="R108" s="70" t="e">
        <f t="shared" si="41"/>
        <v>#DIV/0!</v>
      </c>
    </row>
    <row r="109" spans="1:18" x14ac:dyDescent="0.2">
      <c r="C109" s="16"/>
      <c r="F109" s="69"/>
      <c r="G109" s="74" t="s">
        <v>272</v>
      </c>
      <c r="H109" s="41">
        <f t="shared" ref="H109:R109" si="42">H95</f>
        <v>2011</v>
      </c>
      <c r="I109" s="41">
        <f t="shared" si="42"/>
        <v>2012</v>
      </c>
      <c r="J109" s="41">
        <f t="shared" si="42"/>
        <v>2013</v>
      </c>
      <c r="K109" s="41">
        <f t="shared" si="42"/>
        <v>2014</v>
      </c>
      <c r="L109" s="41">
        <f t="shared" si="42"/>
        <v>2015</v>
      </c>
      <c r="M109" s="41">
        <f t="shared" si="42"/>
        <v>2016</v>
      </c>
      <c r="N109" s="41">
        <f t="shared" si="42"/>
        <v>2017</v>
      </c>
      <c r="O109" s="41">
        <f t="shared" si="42"/>
        <v>2018</v>
      </c>
      <c r="P109" s="41">
        <f t="shared" si="42"/>
        <v>2019</v>
      </c>
      <c r="Q109" s="41">
        <f t="shared" si="42"/>
        <v>2020</v>
      </c>
      <c r="R109" s="41">
        <f t="shared" si="42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60"/>
      <c r="F110" s="69"/>
      <c r="G110" s="18" t="s">
        <v>276</v>
      </c>
      <c r="H110" s="76">
        <f t="shared" ref="H110:R110" si="43">H10/H4</f>
        <v>0.91047129626175594</v>
      </c>
      <c r="I110" s="76">
        <f t="shared" si="43"/>
        <v>0.97105742512056537</v>
      </c>
      <c r="J110" s="76">
        <f t="shared" si="43"/>
        <v>0.97522671177203391</v>
      </c>
      <c r="K110" s="76">
        <f t="shared" si="43"/>
        <v>0.94789629904347639</v>
      </c>
      <c r="L110" s="76">
        <f t="shared" si="43"/>
        <v>0.97329718610922844</v>
      </c>
      <c r="M110" s="76">
        <f t="shared" si="43"/>
        <v>0.95853940534415627</v>
      </c>
      <c r="N110" s="76">
        <f t="shared" si="43"/>
        <v>0.96740263503168233</v>
      </c>
      <c r="O110" s="76">
        <f t="shared" si="43"/>
        <v>0.96515963288532902</v>
      </c>
      <c r="P110" s="76">
        <f t="shared" si="43"/>
        <v>0.96468513634191466</v>
      </c>
      <c r="Q110" s="76">
        <f t="shared" si="43"/>
        <v>0.96471066875101286</v>
      </c>
      <c r="R110" s="76">
        <f t="shared" si="43"/>
        <v>0.96233104880272524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60"/>
      <c r="F111" s="69"/>
      <c r="G111" s="18" t="s">
        <v>280</v>
      </c>
      <c r="H111" s="76">
        <f t="shared" ref="H111:R111" si="44">-(H58)/H15</f>
        <v>6.3750161549966673E-3</v>
      </c>
      <c r="I111" s="76">
        <f t="shared" si="44"/>
        <v>0.14230286325408492</v>
      </c>
      <c r="J111" s="76">
        <f t="shared" si="44"/>
        <v>3.4795148777668483E-2</v>
      </c>
      <c r="K111" s="76">
        <f t="shared" si="44"/>
        <v>7.1548006002779108E-2</v>
      </c>
      <c r="L111" s="76">
        <f t="shared" si="44"/>
        <v>5.1096770350315861E-3</v>
      </c>
      <c r="M111" s="76">
        <f t="shared" si="44"/>
        <v>4.7780720844788687E-3</v>
      </c>
      <c r="N111" s="76">
        <f t="shared" si="44"/>
        <v>5.9382149338107169E-3</v>
      </c>
      <c r="O111" s="76">
        <f t="shared" si="44"/>
        <v>5.7084014779817064E-3</v>
      </c>
      <c r="P111" s="76">
        <f t="shared" si="44"/>
        <v>7.7844760979768604E-3</v>
      </c>
      <c r="Q111" s="76">
        <f t="shared" si="44"/>
        <v>6.5928531825104183E-3</v>
      </c>
      <c r="R111" s="76">
        <f t="shared" si="44"/>
        <v>7.4755091767985758E-3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60"/>
      <c r="F112" s="69"/>
      <c r="G112" s="14" t="s">
        <v>284</v>
      </c>
      <c r="H112" s="65">
        <f t="shared" ref="H112:R112" si="45">H33/H4</f>
        <v>0.43981340333326135</v>
      </c>
      <c r="I112" s="65">
        <f t="shared" si="45"/>
        <v>0.59764610436985277</v>
      </c>
      <c r="J112" s="65">
        <f t="shared" si="45"/>
        <v>0.48005673895834616</v>
      </c>
      <c r="K112" s="65">
        <f t="shared" si="45"/>
        <v>0.54130563193307657</v>
      </c>
      <c r="L112" s="65">
        <f t="shared" si="45"/>
        <v>0.53887244308820303</v>
      </c>
      <c r="M112" s="65">
        <f t="shared" si="45"/>
        <v>0.51387801979493419</v>
      </c>
      <c r="N112" s="65">
        <f t="shared" si="45"/>
        <v>0.50957629510632285</v>
      </c>
      <c r="O112" s="65">
        <f t="shared" si="45"/>
        <v>0.47507872695175268</v>
      </c>
      <c r="P112" s="65">
        <f t="shared" si="45"/>
        <v>0.47797742059694759</v>
      </c>
      <c r="Q112" s="65">
        <f t="shared" si="45"/>
        <v>0.48043244352273151</v>
      </c>
      <c r="R112" s="65">
        <f t="shared" si="45"/>
        <v>0.48235970733335726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60"/>
      <c r="F113" s="69"/>
      <c r="G113" s="59" t="s">
        <v>288</v>
      </c>
      <c r="H113" s="65">
        <f t="shared" ref="H113:R113" si="46">H33/H15</f>
        <v>0.48367304322506482</v>
      </c>
      <c r="I113" s="65">
        <f t="shared" si="46"/>
        <v>0.61648108842405536</v>
      </c>
      <c r="J113" s="65">
        <f t="shared" si="46"/>
        <v>0.49322132250511114</v>
      </c>
      <c r="K113" s="65">
        <f t="shared" si="46"/>
        <v>0.57231912784678218</v>
      </c>
      <c r="L113" s="65">
        <f t="shared" si="46"/>
        <v>0.55467649710327538</v>
      </c>
      <c r="M113" s="65">
        <f t="shared" si="46"/>
        <v>0.53713969069315093</v>
      </c>
      <c r="N113" s="65">
        <f t="shared" si="46"/>
        <v>0.52772213226028575</v>
      </c>
      <c r="O113" s="65">
        <f t="shared" si="46"/>
        <v>0.49313465382518623</v>
      </c>
      <c r="P113" s="65">
        <f t="shared" si="46"/>
        <v>0.49638266488726557</v>
      </c>
      <c r="Q113" s="65">
        <f t="shared" si="46"/>
        <v>0.49891410405715914</v>
      </c>
      <c r="R113" s="65">
        <f t="shared" si="46"/>
        <v>0.50214899713467054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62">
        <v>0.5</v>
      </c>
      <c r="E114" s="62">
        <f>1/3</f>
        <v>0.33333333333333331</v>
      </c>
      <c r="F114" s="69"/>
      <c r="G114" s="18" t="s">
        <v>292</v>
      </c>
      <c r="H114" s="76">
        <f t="shared" ref="H114:R114" si="47">H27/H4</f>
        <v>0.74798932050462541</v>
      </c>
      <c r="I114" s="76">
        <f t="shared" si="47"/>
        <v>0.79137782192360107</v>
      </c>
      <c r="J114" s="76">
        <f t="shared" si="47"/>
        <v>0.81917096603727146</v>
      </c>
      <c r="K114" s="76">
        <f t="shared" si="47"/>
        <v>0.83990553884733332</v>
      </c>
      <c r="L114" s="76">
        <f t="shared" si="47"/>
        <v>0.88872430615614539</v>
      </c>
      <c r="M114" s="76">
        <f t="shared" si="47"/>
        <v>0.89576777316247003</v>
      </c>
      <c r="N114" s="76">
        <f t="shared" si="47"/>
        <v>0.91000407701104069</v>
      </c>
      <c r="O114" s="76">
        <f t="shared" si="47"/>
        <v>0.92281899325204231</v>
      </c>
      <c r="P114" s="76">
        <f t="shared" si="47"/>
        <v>0.9345865733084282</v>
      </c>
      <c r="Q114" s="76">
        <f t="shared" si="47"/>
        <v>0.94599678488452787</v>
      </c>
      <c r="R114" s="76">
        <f t="shared" si="47"/>
        <v>0.95840072938843068</v>
      </c>
    </row>
    <row r="115" spans="1:19" x14ac:dyDescent="0.2">
      <c r="A115" s="77"/>
      <c r="C115" s="77"/>
      <c r="D115" s="78"/>
      <c r="E115" s="79"/>
      <c r="F115" s="69"/>
      <c r="G115" s="11" t="s">
        <v>293</v>
      </c>
      <c r="H115" s="41">
        <f t="shared" ref="H115:R115" si="48">H109</f>
        <v>2011</v>
      </c>
      <c r="I115" s="41">
        <f t="shared" si="48"/>
        <v>2012</v>
      </c>
      <c r="J115" s="41">
        <f t="shared" si="48"/>
        <v>2013</v>
      </c>
      <c r="K115" s="41">
        <f t="shared" si="48"/>
        <v>2014</v>
      </c>
      <c r="L115" s="41">
        <f t="shared" si="48"/>
        <v>2015</v>
      </c>
      <c r="M115" s="41">
        <f t="shared" si="48"/>
        <v>2016</v>
      </c>
      <c r="N115" s="41">
        <f t="shared" si="48"/>
        <v>2017</v>
      </c>
      <c r="O115" s="41">
        <f t="shared" si="48"/>
        <v>2018</v>
      </c>
      <c r="P115" s="41">
        <f t="shared" si="48"/>
        <v>2019</v>
      </c>
      <c r="Q115" s="41">
        <f t="shared" si="48"/>
        <v>2020</v>
      </c>
      <c r="R115" s="41">
        <f t="shared" si="48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62">
        <v>0.05</v>
      </c>
      <c r="G116" s="14" t="s">
        <v>297</v>
      </c>
      <c r="H116" s="64">
        <f t="shared" ref="H116:R116" si="49">H35/H33</f>
        <v>0.51388925203576596</v>
      </c>
      <c r="I116" s="64">
        <f t="shared" si="49"/>
        <v>0.41849974453139599</v>
      </c>
      <c r="J116" s="64">
        <f t="shared" si="49"/>
        <v>0.57503142968454268</v>
      </c>
      <c r="K116" s="64">
        <f t="shared" si="49"/>
        <v>0.5274717845452721</v>
      </c>
      <c r="L116" s="64">
        <f t="shared" si="49"/>
        <v>0.55497084334192648</v>
      </c>
      <c r="M116" s="64">
        <f t="shared" si="49"/>
        <v>0.52934106298455552</v>
      </c>
      <c r="N116" s="64">
        <f t="shared" si="49"/>
        <v>0.52690827020428188</v>
      </c>
      <c r="O116" s="64">
        <f t="shared" si="49"/>
        <v>0.57619798652771848</v>
      </c>
      <c r="P116" s="64">
        <f t="shared" si="49"/>
        <v>0.5764773619982142</v>
      </c>
      <c r="Q116" s="64">
        <f t="shared" si="49"/>
        <v>0.57823578226076489</v>
      </c>
      <c r="R116" s="64">
        <f t="shared" si="49"/>
        <v>0.57790029687319266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62">
        <v>0.95</v>
      </c>
      <c r="G117" s="18" t="s">
        <v>301</v>
      </c>
      <c r="H117" s="76">
        <f t="shared" ref="H117:R117" si="50">(H36+H34)/H33</f>
        <v>0.48611074796423398</v>
      </c>
      <c r="I117" s="76">
        <f t="shared" si="50"/>
        <v>0.58084460450752262</v>
      </c>
      <c r="J117" s="76">
        <f t="shared" si="50"/>
        <v>0.42121192863596546</v>
      </c>
      <c r="K117" s="76">
        <f t="shared" si="50"/>
        <v>0.47045374317016747</v>
      </c>
      <c r="L117" s="76">
        <f t="shared" si="50"/>
        <v>0.44550132925845287</v>
      </c>
      <c r="M117" s="76">
        <f t="shared" si="50"/>
        <v>0.46942846836596103</v>
      </c>
      <c r="N117" s="76">
        <f t="shared" si="50"/>
        <v>0.47251762056064295</v>
      </c>
      <c r="O117" s="76">
        <f t="shared" si="50"/>
        <v>0.42244594136462127</v>
      </c>
      <c r="P117" s="76">
        <f t="shared" si="50"/>
        <v>0.42243453057679453</v>
      </c>
      <c r="Q117" s="76">
        <f t="shared" si="50"/>
        <v>0.42176421773923506</v>
      </c>
      <c r="R117" s="76">
        <f t="shared" si="50"/>
        <v>0.42209970312680728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62">
        <v>0.95</v>
      </c>
      <c r="G118" s="59" t="s">
        <v>305</v>
      </c>
      <c r="H118" s="64">
        <f t="shared" ref="H118:R118" si="51">H38/(H38+H41)</f>
        <v>7.0786487425842319E-5</v>
      </c>
      <c r="I118" s="64">
        <f t="shared" si="51"/>
        <v>0</v>
      </c>
      <c r="J118" s="64">
        <f t="shared" si="51"/>
        <v>5.8938563620053729E-5</v>
      </c>
      <c r="K118" s="64">
        <f t="shared" si="51"/>
        <v>5.3577188119151393E-5</v>
      </c>
      <c r="L118" s="64">
        <f t="shared" si="51"/>
        <v>4.9645407675676484E-5</v>
      </c>
      <c r="M118" s="64">
        <f t="shared" si="51"/>
        <v>0</v>
      </c>
      <c r="N118" s="64">
        <f t="shared" si="51"/>
        <v>0</v>
      </c>
      <c r="O118" s="64">
        <f t="shared" si="51"/>
        <v>0</v>
      </c>
      <c r="P118" s="64">
        <f t="shared" si="51"/>
        <v>0</v>
      </c>
      <c r="Q118" s="64">
        <f t="shared" si="51"/>
        <v>0</v>
      </c>
      <c r="R118" s="64">
        <f t="shared" si="51"/>
        <v>0</v>
      </c>
    </row>
    <row r="119" spans="1:19" x14ac:dyDescent="0.2">
      <c r="A119" s="77"/>
      <c r="C119" s="78"/>
      <c r="D119" s="78"/>
      <c r="E119" s="79"/>
      <c r="F119" s="69"/>
      <c r="G119" s="11" t="s">
        <v>306</v>
      </c>
      <c r="H119" s="41">
        <f>H115</f>
        <v>2011</v>
      </c>
      <c r="I119" s="41">
        <f t="shared" ref="I119:R119" si="52">I115</f>
        <v>2012</v>
      </c>
      <c r="J119" s="41">
        <f t="shared" si="52"/>
        <v>2013</v>
      </c>
      <c r="K119" s="41">
        <f t="shared" si="52"/>
        <v>2014</v>
      </c>
      <c r="L119" s="41">
        <f t="shared" si="52"/>
        <v>2015</v>
      </c>
      <c r="M119" s="41">
        <f t="shared" si="52"/>
        <v>2016</v>
      </c>
      <c r="N119" s="41">
        <f t="shared" si="52"/>
        <v>2017</v>
      </c>
      <c r="O119" s="41">
        <f t="shared" si="52"/>
        <v>2018</v>
      </c>
      <c r="P119" s="41">
        <f t="shared" si="52"/>
        <v>2019</v>
      </c>
      <c r="Q119" s="41">
        <f t="shared" si="52"/>
        <v>2020</v>
      </c>
      <c r="R119" s="41">
        <f t="shared" si="52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81">
        <v>0.5</v>
      </c>
      <c r="E120" s="82" t="s">
        <v>310</v>
      </c>
      <c r="F120" s="4"/>
      <c r="G120" s="14" t="s">
        <v>311</v>
      </c>
      <c r="H120" s="65">
        <f t="shared" ref="H120:R120" si="53">IF(H116&lt;$D$120,$E$120,H35/H4)</f>
        <v>0.22601538087423434</v>
      </c>
      <c r="I120" s="65" t="str">
        <f t="shared" si="53"/>
        <v>N/A</v>
      </c>
      <c r="J120" s="65">
        <f t="shared" si="53"/>
        <v>0.27604771293291713</v>
      </c>
      <c r="K120" s="65">
        <f t="shared" si="53"/>
        <v>0.28552344766014615</v>
      </c>
      <c r="L120" s="65">
        <f t="shared" si="53"/>
        <v>0.29905849419438435</v>
      </c>
      <c r="M120" s="65">
        <f t="shared" si="53"/>
        <v>0.27201673724264891</v>
      </c>
      <c r="N120" s="65">
        <f t="shared" si="53"/>
        <v>0.26849996419157923</v>
      </c>
      <c r="O120" s="65">
        <f t="shared" si="53"/>
        <v>0.27373940591175161</v>
      </c>
      <c r="P120" s="65">
        <f t="shared" si="53"/>
        <v>0.27554316252043926</v>
      </c>
      <c r="Q120" s="65">
        <f t="shared" si="53"/>
        <v>0.27780322980381739</v>
      </c>
      <c r="R120" s="65">
        <f t="shared" si="53"/>
        <v>0.27875581806761346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81">
        <v>0.5</v>
      </c>
      <c r="E121" s="82" t="s">
        <v>310</v>
      </c>
      <c r="F121" s="4"/>
      <c r="G121" s="18" t="s">
        <v>315</v>
      </c>
      <c r="H121" s="65">
        <f t="shared" ref="H121:R121" si="54">IF(H116&lt;$D$121,$E$121,H35/H15)</f>
        <v>0.24855437841279127</v>
      </c>
      <c r="I121" s="65" t="str">
        <f t="shared" si="54"/>
        <v>N/A</v>
      </c>
      <c r="J121" s="65">
        <f t="shared" si="54"/>
        <v>0.28361776223101498</v>
      </c>
      <c r="K121" s="65">
        <f t="shared" si="54"/>
        <v>0.30188219169473596</v>
      </c>
      <c r="L121" s="65">
        <f t="shared" si="54"/>
        <v>0.30782928337935039</v>
      </c>
      <c r="M121" s="65">
        <f t="shared" si="54"/>
        <v>0.28433009484270788</v>
      </c>
      <c r="N121" s="65">
        <f t="shared" si="54"/>
        <v>0.2780611558577824</v>
      </c>
      <c r="O121" s="65">
        <f t="shared" si="54"/>
        <v>0.28414319462111576</v>
      </c>
      <c r="P121" s="65">
        <f t="shared" si="54"/>
        <v>0.28615336919585443</v>
      </c>
      <c r="Q121" s="65">
        <f t="shared" si="54"/>
        <v>0.28848998724042008</v>
      </c>
      <c r="R121" s="65">
        <f t="shared" si="54"/>
        <v>0.29019205451870206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81">
        <v>0.5</v>
      </c>
      <c r="E122" s="82" t="s">
        <v>310</v>
      </c>
      <c r="F122" s="4"/>
      <c r="G122" s="14" t="s">
        <v>318</v>
      </c>
      <c r="H122" s="76">
        <f t="shared" ref="H122:R122" si="55">IF(H116&lt;$D$122,$E$122,H46/H33)</f>
        <v>9.9091693488163726E-2</v>
      </c>
      <c r="I122" s="76" t="str">
        <f t="shared" si="55"/>
        <v>N/A</v>
      </c>
      <c r="J122" s="76">
        <f t="shared" si="55"/>
        <v>6.2396834650847291E-2</v>
      </c>
      <c r="K122" s="76">
        <f t="shared" si="55"/>
        <v>0.15312073773534077</v>
      </c>
      <c r="L122" s="76">
        <f t="shared" si="55"/>
        <v>6.7558640828024291E-2</v>
      </c>
      <c r="M122" s="76">
        <f t="shared" si="55"/>
        <v>7.6946397884903997E-2</v>
      </c>
      <c r="N122" s="76">
        <f t="shared" si="55"/>
        <v>7.5298330122914453E-2</v>
      </c>
      <c r="O122" s="76">
        <f t="shared" si="55"/>
        <v>3.254081727911011E-2</v>
      </c>
      <c r="P122" s="76">
        <f t="shared" si="55"/>
        <v>2.6939197728148821E-2</v>
      </c>
      <c r="Q122" s="76">
        <f t="shared" si="55"/>
        <v>2.4565302844275945E-2</v>
      </c>
      <c r="R122" s="76">
        <f t="shared" si="55"/>
        <v>3.1523499248178211E-2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81">
        <v>0.5</v>
      </c>
      <c r="E123" s="82" t="s">
        <v>310</v>
      </c>
      <c r="F123" s="4"/>
      <c r="G123" s="18" t="s">
        <v>322</v>
      </c>
      <c r="H123" s="76">
        <f t="shared" ref="H123:R123" si="56">IF(H116&lt;$D$122,$E$123,H51/H33)</f>
        <v>8.848766296171838E-2</v>
      </c>
      <c r="I123" s="76" t="str">
        <f t="shared" si="56"/>
        <v>N/A</v>
      </c>
      <c r="J123" s="76">
        <f t="shared" si="56"/>
        <v>5.7990876411572759E-2</v>
      </c>
      <c r="K123" s="76">
        <f t="shared" si="56"/>
        <v>0.15054352807298244</v>
      </c>
      <c r="L123" s="76">
        <f t="shared" si="56"/>
        <v>6.6206931030859464E-2</v>
      </c>
      <c r="M123" s="76">
        <f t="shared" si="56"/>
        <v>7.6129984275265725E-2</v>
      </c>
      <c r="N123" s="76">
        <f t="shared" si="56"/>
        <v>7.4552447404704722E-2</v>
      </c>
      <c r="O123" s="76">
        <f t="shared" si="56"/>
        <v>3.1913879594554107E-2</v>
      </c>
      <c r="P123" s="76">
        <f t="shared" si="56"/>
        <v>2.6447353654430763E-2</v>
      </c>
      <c r="Q123" s="76">
        <f t="shared" si="56"/>
        <v>2.4278982641231246E-2</v>
      </c>
      <c r="R123" s="76">
        <f t="shared" si="56"/>
        <v>3.1446871264988165E-2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81">
        <v>0.5</v>
      </c>
      <c r="E124" s="82" t="s">
        <v>310</v>
      </c>
      <c r="F124" s="4"/>
      <c r="G124" s="18" t="s">
        <v>326</v>
      </c>
      <c r="H124" s="76">
        <f t="shared" ref="H124:R124" si="57">IF(H116&lt;$D$124,$E$124,H51/H4)</f>
        <v>3.8918060200199944E-2</v>
      </c>
      <c r="I124" s="76" t="str">
        <f t="shared" si="57"/>
        <v>N/A</v>
      </c>
      <c r="J124" s="76">
        <f t="shared" si="57"/>
        <v>2.7838911019476099E-2</v>
      </c>
      <c r="K124" s="76">
        <f t="shared" si="57"/>
        <v>8.1490059596980621E-2</v>
      </c>
      <c r="L124" s="76">
        <f t="shared" si="57"/>
        <v>3.5677090673971401E-2</v>
      </c>
      <c r="M124" s="76">
        <f t="shared" si="57"/>
        <v>3.9121525566393027E-2</v>
      </c>
      <c r="N124" s="76">
        <f t="shared" si="57"/>
        <v>3.7990159939598429E-2</v>
      </c>
      <c r="O124" s="76">
        <f t="shared" si="57"/>
        <v>1.5161605289872281E-2</v>
      </c>
      <c r="P124" s="76">
        <f t="shared" si="57"/>
        <v>1.2641237881360071E-2</v>
      </c>
      <c r="Q124" s="76">
        <f t="shared" si="57"/>
        <v>1.166441095657271E-2</v>
      </c>
      <c r="R124" s="76">
        <f t="shared" si="57"/>
        <v>1.5168703619929454E-2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81">
        <v>0.5</v>
      </c>
      <c r="E125" s="82" t="s">
        <v>310</v>
      </c>
      <c r="F125" s="4"/>
      <c r="G125" s="59" t="s">
        <v>330</v>
      </c>
      <c r="H125" s="76">
        <f t="shared" ref="H125:R125" si="58">IF(H116&lt;$D$125,$E$125,H51/H27)</f>
        <v>5.2030235102747402E-2</v>
      </c>
      <c r="I125" s="76" t="str">
        <f t="shared" si="58"/>
        <v>N/A</v>
      </c>
      <c r="J125" s="76">
        <f t="shared" si="58"/>
        <v>3.3984250142734498E-2</v>
      </c>
      <c r="K125" s="76">
        <f t="shared" si="58"/>
        <v>9.7022886298399308E-2</v>
      </c>
      <c r="L125" s="76">
        <f t="shared" si="58"/>
        <v>4.0144159923204657E-2</v>
      </c>
      <c r="M125" s="76">
        <f t="shared" si="58"/>
        <v>4.3673736361686852E-2</v>
      </c>
      <c r="N125" s="76">
        <f t="shared" si="58"/>
        <v>4.174724146772972E-2</v>
      </c>
      <c r="O125" s="76">
        <f t="shared" si="58"/>
        <v>1.6429663239203952E-2</v>
      </c>
      <c r="P125" s="76">
        <f t="shared" si="58"/>
        <v>1.3526021282983127E-2</v>
      </c>
      <c r="Q125" s="76">
        <f t="shared" si="58"/>
        <v>1.2330286046370141E-2</v>
      </c>
      <c r="R125" s="76">
        <f t="shared" si="58"/>
        <v>1.5827099411337909E-2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41">
        <f>H119</f>
        <v>2011</v>
      </c>
      <c r="I127" s="41">
        <f t="shared" ref="I127:R127" si="59">I119</f>
        <v>2012</v>
      </c>
      <c r="J127" s="41">
        <f t="shared" si="59"/>
        <v>2013</v>
      </c>
      <c r="K127" s="41">
        <f t="shared" si="59"/>
        <v>2014</v>
      </c>
      <c r="L127" s="41">
        <f t="shared" si="59"/>
        <v>2015</v>
      </c>
      <c r="M127" s="41">
        <f t="shared" si="59"/>
        <v>2016</v>
      </c>
      <c r="N127" s="41">
        <f t="shared" si="59"/>
        <v>2017</v>
      </c>
      <c r="O127" s="41">
        <f t="shared" si="59"/>
        <v>2018</v>
      </c>
      <c r="P127" s="41">
        <f t="shared" si="59"/>
        <v>2019</v>
      </c>
      <c r="Q127" s="41">
        <f t="shared" si="59"/>
        <v>2020</v>
      </c>
      <c r="R127" s="41">
        <f t="shared" si="59"/>
        <v>2021</v>
      </c>
    </row>
    <row r="128" spans="1:19" x14ac:dyDescent="0.2">
      <c r="G128" s="83" t="s">
        <v>331</v>
      </c>
      <c r="H128" s="84">
        <f t="shared" ref="H128:R128" si="60">H33</f>
        <v>1568.0830000000001</v>
      </c>
      <c r="I128" s="84">
        <f t="shared" si="60"/>
        <v>2252.723</v>
      </c>
      <c r="J128" s="84">
        <f t="shared" si="60"/>
        <v>1809.595</v>
      </c>
      <c r="K128" s="84">
        <f t="shared" si="60"/>
        <v>2203.9340000000002</v>
      </c>
      <c r="L128" s="84">
        <f t="shared" si="60"/>
        <v>2160.2270000000003</v>
      </c>
      <c r="M128" s="84">
        <f t="shared" si="60"/>
        <v>2137.3969999999999</v>
      </c>
      <c r="N128" s="84">
        <f t="shared" si="60"/>
        <v>2177.2860000000001</v>
      </c>
      <c r="O128" s="84">
        <f t="shared" si="60"/>
        <v>2035.29</v>
      </c>
      <c r="P128" s="84">
        <f t="shared" si="60"/>
        <v>2049.4299999999998</v>
      </c>
      <c r="Q128" s="84">
        <f t="shared" si="60"/>
        <v>2060.63</v>
      </c>
      <c r="R128" s="84">
        <f t="shared" si="60"/>
        <v>2074.96</v>
      </c>
    </row>
    <row r="129" spans="3:19" x14ac:dyDescent="0.2">
      <c r="G129" s="83" t="s">
        <v>332</v>
      </c>
      <c r="H129" s="84">
        <f t="shared" ref="H129:R130" si="61">H35</f>
        <v>805.82100000000003</v>
      </c>
      <c r="I129" s="84">
        <f t="shared" si="61"/>
        <v>942.76400000000001</v>
      </c>
      <c r="J129" s="84">
        <f t="shared" si="61"/>
        <v>1040.5740000000001</v>
      </c>
      <c r="K129" s="84">
        <f t="shared" si="61"/>
        <v>1162.5129999999999</v>
      </c>
      <c r="L129" s="84">
        <f t="shared" si="61"/>
        <v>1198.8630000000001</v>
      </c>
      <c r="M129" s="84">
        <f t="shared" si="61"/>
        <v>1131.412</v>
      </c>
      <c r="N129" s="84">
        <f t="shared" si="61"/>
        <v>1147.23</v>
      </c>
      <c r="O129" s="84">
        <f t="shared" si="61"/>
        <v>1172.73</v>
      </c>
      <c r="P129" s="84">
        <f t="shared" si="61"/>
        <v>1181.45</v>
      </c>
      <c r="Q129" s="84">
        <f t="shared" si="61"/>
        <v>1191.53</v>
      </c>
      <c r="R129" s="84">
        <f t="shared" si="61"/>
        <v>1199.1199999999999</v>
      </c>
    </row>
    <row r="130" spans="3:19" x14ac:dyDescent="0.2">
      <c r="G130" s="83" t="s">
        <v>333</v>
      </c>
      <c r="H130" s="84">
        <f t="shared" si="61"/>
        <v>762.26199999999994</v>
      </c>
      <c r="I130" s="84">
        <f t="shared" si="61"/>
        <v>1308.482</v>
      </c>
      <c r="J130" s="84">
        <f t="shared" si="61"/>
        <v>762.22299999999996</v>
      </c>
      <c r="K130" s="84">
        <f t="shared" si="61"/>
        <v>1036.8489999999999</v>
      </c>
      <c r="L130" s="84">
        <f t="shared" si="61"/>
        <v>962.38400000000001</v>
      </c>
      <c r="M130" s="84">
        <f t="shared" si="61"/>
        <v>1003.355</v>
      </c>
      <c r="N130" s="84">
        <f t="shared" si="61"/>
        <v>1028.806</v>
      </c>
      <c r="O130" s="84">
        <f t="shared" si="61"/>
        <v>859.8</v>
      </c>
      <c r="P130" s="84">
        <f t="shared" si="61"/>
        <v>865.75</v>
      </c>
      <c r="Q130" s="84">
        <f t="shared" si="61"/>
        <v>869.1</v>
      </c>
      <c r="R130" s="84">
        <f t="shared" si="61"/>
        <v>875.84</v>
      </c>
    </row>
    <row r="131" spans="3:19" x14ac:dyDescent="0.2">
      <c r="G131" s="83" t="s">
        <v>334</v>
      </c>
      <c r="H131" s="84">
        <f t="shared" ref="H131:R131" si="62">H38+H41</f>
        <v>-1412.6989999999998</v>
      </c>
      <c r="I131" s="84">
        <f t="shared" si="62"/>
        <v>-1925.5840000000003</v>
      </c>
      <c r="J131" s="84">
        <f t="shared" si="62"/>
        <v>-1696.682</v>
      </c>
      <c r="K131" s="84">
        <f t="shared" si="62"/>
        <v>-1866.4659999999997</v>
      </c>
      <c r="L131" s="84">
        <f t="shared" si="62"/>
        <v>-2014.2849999999999</v>
      </c>
      <c r="M131" s="84">
        <f t="shared" si="62"/>
        <v>-1972.9319999999998</v>
      </c>
      <c r="N131" s="84">
        <f t="shared" si="62"/>
        <v>-2013.3400000000001</v>
      </c>
      <c r="O131" s="84">
        <f t="shared" si="62"/>
        <v>-1969.06</v>
      </c>
      <c r="P131" s="84">
        <f t="shared" si="62"/>
        <v>-1994.2199999999998</v>
      </c>
      <c r="Q131" s="84">
        <f t="shared" si="62"/>
        <v>-2010.0099999999998</v>
      </c>
      <c r="R131" s="84">
        <f t="shared" si="62"/>
        <v>-2009.5500000000002</v>
      </c>
    </row>
    <row r="132" spans="3:19" x14ac:dyDescent="0.2">
      <c r="G132" s="83" t="s">
        <v>335</v>
      </c>
      <c r="H132" s="84">
        <f t="shared" ref="H132:R132" si="63">H41</f>
        <v>-1412.5989999999999</v>
      </c>
      <c r="I132" s="84">
        <f t="shared" si="63"/>
        <v>-1925.5840000000003</v>
      </c>
      <c r="J132" s="84">
        <f t="shared" si="63"/>
        <v>-1696.5820000000001</v>
      </c>
      <c r="K132" s="84">
        <f t="shared" si="63"/>
        <v>-1866.3659999999998</v>
      </c>
      <c r="L132" s="84">
        <f t="shared" si="63"/>
        <v>-2014.1849999999999</v>
      </c>
      <c r="M132" s="84">
        <f t="shared" si="63"/>
        <v>-1972.9319999999998</v>
      </c>
      <c r="N132" s="84">
        <f t="shared" si="63"/>
        <v>-2013.3400000000001</v>
      </c>
      <c r="O132" s="84">
        <f t="shared" si="63"/>
        <v>-1969.06</v>
      </c>
      <c r="P132" s="84">
        <f t="shared" si="63"/>
        <v>-1994.2199999999998</v>
      </c>
      <c r="Q132" s="84">
        <f t="shared" si="63"/>
        <v>-2010.0099999999998</v>
      </c>
      <c r="R132" s="84">
        <f t="shared" si="63"/>
        <v>-2009.5500000000002</v>
      </c>
    </row>
    <row r="133" spans="3:19" x14ac:dyDescent="0.2">
      <c r="G133" s="83" t="s">
        <v>336</v>
      </c>
      <c r="H133" s="84">
        <f t="shared" ref="H133:R133" si="64">H38</f>
        <v>-0.1</v>
      </c>
      <c r="I133" s="84">
        <f t="shared" si="64"/>
        <v>0</v>
      </c>
      <c r="J133" s="84">
        <f t="shared" si="64"/>
        <v>-0.1</v>
      </c>
      <c r="K133" s="84">
        <f t="shared" si="64"/>
        <v>-0.1</v>
      </c>
      <c r="L133" s="84">
        <f t="shared" si="64"/>
        <v>-0.1</v>
      </c>
      <c r="M133" s="84">
        <f t="shared" si="64"/>
        <v>0</v>
      </c>
      <c r="N133" s="84">
        <f t="shared" si="64"/>
        <v>0</v>
      </c>
      <c r="O133" s="84">
        <f t="shared" si="64"/>
        <v>0</v>
      </c>
      <c r="P133" s="84">
        <f t="shared" si="64"/>
        <v>0</v>
      </c>
      <c r="Q133" s="84">
        <f t="shared" si="64"/>
        <v>0</v>
      </c>
      <c r="R133" s="84">
        <f t="shared" si="64"/>
        <v>0</v>
      </c>
    </row>
    <row r="134" spans="3:19" x14ac:dyDescent="0.2">
      <c r="G134" s="83" t="s">
        <v>337</v>
      </c>
      <c r="H134" s="84">
        <f t="shared" ref="H134:R134" si="65">H46</f>
        <v>155.38400000000024</v>
      </c>
      <c r="I134" s="84">
        <f t="shared" si="65"/>
        <v>327.13899999999967</v>
      </c>
      <c r="J134" s="84">
        <f t="shared" si="65"/>
        <v>112.91300000000001</v>
      </c>
      <c r="K134" s="84">
        <f t="shared" si="65"/>
        <v>337.46800000000053</v>
      </c>
      <c r="L134" s="84">
        <f t="shared" si="65"/>
        <v>145.94200000000046</v>
      </c>
      <c r="M134" s="84">
        <f t="shared" si="65"/>
        <v>164.46500000000015</v>
      </c>
      <c r="N134" s="84">
        <f t="shared" si="65"/>
        <v>163.94599999999991</v>
      </c>
      <c r="O134" s="84">
        <f t="shared" si="65"/>
        <v>66.230000000000018</v>
      </c>
      <c r="P134" s="84">
        <f t="shared" si="65"/>
        <v>55.210000000000036</v>
      </c>
      <c r="Q134" s="84">
        <f t="shared" si="65"/>
        <v>50.620000000000346</v>
      </c>
      <c r="R134" s="84">
        <f t="shared" si="65"/>
        <v>65.409999999999854</v>
      </c>
    </row>
    <row r="135" spans="3:19" x14ac:dyDescent="0.2">
      <c r="G135" s="83" t="s">
        <v>338</v>
      </c>
      <c r="H135" s="84">
        <f t="shared" ref="H135:R135" si="66">H51</f>
        <v>138.75600000000026</v>
      </c>
      <c r="I135" s="84">
        <f t="shared" si="66"/>
        <v>316.12499999999966</v>
      </c>
      <c r="J135" s="84">
        <f t="shared" si="66"/>
        <v>104.94000000000001</v>
      </c>
      <c r="K135" s="84">
        <f t="shared" si="66"/>
        <v>331.78800000000052</v>
      </c>
      <c r="L135" s="84">
        <f t="shared" si="66"/>
        <v>143.02200000000047</v>
      </c>
      <c r="M135" s="84">
        <f t="shared" si="66"/>
        <v>162.72000000000014</v>
      </c>
      <c r="N135" s="84">
        <f t="shared" si="66"/>
        <v>162.32199999999992</v>
      </c>
      <c r="O135" s="84">
        <f t="shared" si="66"/>
        <v>64.954000000000022</v>
      </c>
      <c r="P135" s="84">
        <f t="shared" si="66"/>
        <v>54.202000000000034</v>
      </c>
      <c r="Q135" s="84">
        <f t="shared" si="66"/>
        <v>50.030000000000342</v>
      </c>
      <c r="R135" s="84">
        <f t="shared" si="66"/>
        <v>65.250999999999848</v>
      </c>
    </row>
    <row r="136" spans="3:19" x14ac:dyDescent="0.2">
      <c r="G136" s="83" t="s">
        <v>339</v>
      </c>
      <c r="H136" s="84">
        <f t="shared" ref="H136:R137" si="67">H4</f>
        <v>3565.337</v>
      </c>
      <c r="I136" s="84">
        <f t="shared" si="67"/>
        <v>3769.3260000000005</v>
      </c>
      <c r="J136" s="84">
        <f t="shared" si="67"/>
        <v>3769.5439999999999</v>
      </c>
      <c r="K136" s="84">
        <f t="shared" si="67"/>
        <v>4071.5149999999999</v>
      </c>
      <c r="L136" s="84">
        <f t="shared" si="67"/>
        <v>4008.7909999999997</v>
      </c>
      <c r="M136" s="84">
        <f t="shared" si="67"/>
        <v>4159.3469999999998</v>
      </c>
      <c r="N136" s="84">
        <f t="shared" si="67"/>
        <v>4272.7380000000003</v>
      </c>
      <c r="O136" s="84">
        <f t="shared" si="67"/>
        <v>4284.1109999999999</v>
      </c>
      <c r="P136" s="84">
        <f t="shared" si="67"/>
        <v>4287.7129999999997</v>
      </c>
      <c r="Q136" s="84">
        <f t="shared" si="67"/>
        <v>4289.1149999999989</v>
      </c>
      <c r="R136" s="84">
        <f t="shared" si="67"/>
        <v>4301.6859999999997</v>
      </c>
    </row>
    <row r="137" spans="3:19" x14ac:dyDescent="0.2">
      <c r="G137" s="83" t="s">
        <v>340</v>
      </c>
      <c r="H137" s="84">
        <f t="shared" si="67"/>
        <v>319.2</v>
      </c>
      <c r="I137" s="84">
        <f t="shared" si="67"/>
        <v>109.09399999999999</v>
      </c>
      <c r="J137" s="84">
        <f t="shared" si="67"/>
        <v>93.384</v>
      </c>
      <c r="K137" s="84">
        <f t="shared" si="67"/>
        <v>212.14100000000002</v>
      </c>
      <c r="L137" s="84">
        <f t="shared" si="67"/>
        <v>107.04599999999999</v>
      </c>
      <c r="M137" s="84">
        <f t="shared" si="67"/>
        <v>172.44900000000001</v>
      </c>
      <c r="N137" s="84">
        <f t="shared" si="67"/>
        <v>139.28</v>
      </c>
      <c r="O137" s="84">
        <f t="shared" si="67"/>
        <v>149.26</v>
      </c>
      <c r="P137" s="84">
        <f t="shared" si="67"/>
        <v>151.42000000000002</v>
      </c>
      <c r="Q137" s="84">
        <f t="shared" si="67"/>
        <v>151.36000000000001</v>
      </c>
      <c r="R137" s="84">
        <f t="shared" si="67"/>
        <v>162.04</v>
      </c>
    </row>
    <row r="138" spans="3:19" x14ac:dyDescent="0.2">
      <c r="G138" s="83" t="s">
        <v>341</v>
      </c>
      <c r="H138" s="84">
        <f t="shared" ref="H138:R138" si="68">H10</f>
        <v>3246.1370000000002</v>
      </c>
      <c r="I138" s="84">
        <f t="shared" si="68"/>
        <v>3660.2320000000004</v>
      </c>
      <c r="J138" s="84">
        <f t="shared" si="68"/>
        <v>3676.16</v>
      </c>
      <c r="K138" s="84">
        <f t="shared" si="68"/>
        <v>3859.3739999999998</v>
      </c>
      <c r="L138" s="84">
        <f t="shared" si="68"/>
        <v>3901.7449999999999</v>
      </c>
      <c r="M138" s="84">
        <f t="shared" si="68"/>
        <v>3986.8980000000001</v>
      </c>
      <c r="N138" s="84">
        <f t="shared" si="68"/>
        <v>4133.4580000000005</v>
      </c>
      <c r="O138" s="84">
        <f t="shared" si="68"/>
        <v>4134.8509999999997</v>
      </c>
      <c r="P138" s="84">
        <f t="shared" si="68"/>
        <v>4136.2929999999997</v>
      </c>
      <c r="Q138" s="84">
        <f t="shared" si="68"/>
        <v>4137.7549999999992</v>
      </c>
      <c r="R138" s="84">
        <f t="shared" si="68"/>
        <v>4139.6459999999997</v>
      </c>
    </row>
    <row r="139" spans="3:19" x14ac:dyDescent="0.2">
      <c r="G139" s="83" t="s">
        <v>342</v>
      </c>
      <c r="H139" s="84">
        <f t="shared" ref="H139:R140" si="69">H19</f>
        <v>898.50399999999991</v>
      </c>
      <c r="I139" s="84">
        <f t="shared" si="69"/>
        <v>786.36500000000001</v>
      </c>
      <c r="J139" s="84">
        <f t="shared" si="69"/>
        <v>681.64400000000001</v>
      </c>
      <c r="K139" s="84">
        <f t="shared" si="69"/>
        <v>651.82799999999997</v>
      </c>
      <c r="L139" s="84">
        <f t="shared" si="69"/>
        <v>446.08199999999999</v>
      </c>
      <c r="M139" s="84">
        <f t="shared" si="69"/>
        <v>433.53899999999999</v>
      </c>
      <c r="N139" s="84">
        <f t="shared" si="69"/>
        <v>384.49299999999999</v>
      </c>
      <c r="O139" s="84">
        <f t="shared" si="69"/>
        <v>330.88400000000001</v>
      </c>
      <c r="P139" s="84">
        <f t="shared" si="69"/>
        <v>280.346</v>
      </c>
      <c r="Q139" s="84">
        <f t="shared" si="69"/>
        <v>231.167</v>
      </c>
      <c r="R139" s="84">
        <f t="shared" si="69"/>
        <v>179.02799999999999</v>
      </c>
    </row>
    <row r="140" spans="3:19" x14ac:dyDescent="0.2">
      <c r="G140" s="83" t="s">
        <v>343</v>
      </c>
      <c r="H140" s="84">
        <f t="shared" si="69"/>
        <v>420.19099999999997</v>
      </c>
      <c r="I140" s="84">
        <f t="shared" si="69"/>
        <v>247.57599999999999</v>
      </c>
      <c r="J140" s="84">
        <f t="shared" si="69"/>
        <v>262.45100000000002</v>
      </c>
      <c r="K140" s="84">
        <f t="shared" si="69"/>
        <v>323.19799999999998</v>
      </c>
      <c r="L140" s="84">
        <f t="shared" si="69"/>
        <v>167.37100000000001</v>
      </c>
      <c r="M140" s="84">
        <f t="shared" si="69"/>
        <v>204.74600000000001</v>
      </c>
      <c r="N140" s="84">
        <f t="shared" si="69"/>
        <v>205.61799999999999</v>
      </c>
      <c r="O140" s="84">
        <f t="shared" si="69"/>
        <v>201.80799999999999</v>
      </c>
      <c r="P140" s="84">
        <f t="shared" si="69"/>
        <v>201.25800000000001</v>
      </c>
      <c r="Q140" s="84">
        <f t="shared" si="69"/>
        <v>202.12899999999999</v>
      </c>
      <c r="R140" s="84">
        <f t="shared" si="69"/>
        <v>200.23099999999999</v>
      </c>
    </row>
    <row r="141" spans="3:19" x14ac:dyDescent="0.2">
      <c r="G141" s="83" t="s">
        <v>344</v>
      </c>
      <c r="H141" s="84">
        <f t="shared" ref="H141:R141" si="70">H24</f>
        <v>528.23099999999999</v>
      </c>
      <c r="I141" s="84">
        <f t="shared" si="70"/>
        <v>658.38499999999999</v>
      </c>
      <c r="J141" s="84">
        <f t="shared" si="70"/>
        <v>538.78899999999999</v>
      </c>
      <c r="K141" s="84">
        <f t="shared" si="70"/>
        <v>419.19299999999998</v>
      </c>
      <c r="L141" s="84">
        <f t="shared" si="70"/>
        <v>328.62900000000002</v>
      </c>
      <c r="M141" s="84">
        <f t="shared" si="70"/>
        <v>278.71100000000001</v>
      </c>
      <c r="N141" s="84">
        <f t="shared" si="70"/>
        <v>228.79300000000001</v>
      </c>
      <c r="O141" s="84">
        <f t="shared" si="70"/>
        <v>178.874</v>
      </c>
      <c r="P141" s="84">
        <f t="shared" si="70"/>
        <v>128.95599999999999</v>
      </c>
      <c r="Q141" s="84">
        <f t="shared" si="70"/>
        <v>79.037000000000006</v>
      </c>
      <c r="R141" s="84">
        <f t="shared" si="70"/>
        <v>29.117999999999999</v>
      </c>
    </row>
    <row r="142" spans="3:19" x14ac:dyDescent="0.2">
      <c r="G142" s="83" t="s">
        <v>345</v>
      </c>
      <c r="H142" s="84">
        <f t="shared" ref="H142:R142" si="71">H27</f>
        <v>2666.8339999999998</v>
      </c>
      <c r="I142" s="84">
        <f t="shared" si="71"/>
        <v>2982.9609999999998</v>
      </c>
      <c r="J142" s="84">
        <f t="shared" si="71"/>
        <v>3087.9010000000003</v>
      </c>
      <c r="K142" s="84">
        <f t="shared" si="71"/>
        <v>3419.6880000000001</v>
      </c>
      <c r="L142" s="84">
        <f t="shared" si="71"/>
        <v>3562.71</v>
      </c>
      <c r="M142" s="84">
        <f t="shared" si="71"/>
        <v>3725.8090000000002</v>
      </c>
      <c r="N142" s="84">
        <f t="shared" si="71"/>
        <v>3888.2090000000003</v>
      </c>
      <c r="O142" s="84">
        <f t="shared" si="71"/>
        <v>3953.4590000000003</v>
      </c>
      <c r="P142" s="84">
        <f t="shared" si="71"/>
        <v>4007.2390000000005</v>
      </c>
      <c r="Q142" s="84">
        <f t="shared" si="71"/>
        <v>4057.4890000000005</v>
      </c>
      <c r="R142" s="84">
        <f t="shared" si="71"/>
        <v>4122.7390000000005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57" priority="51" stopIfTrue="1" operator="greaterThan">
      <formula>$E$116</formula>
    </cfRule>
    <cfRule type="cellIs" dxfId="56" priority="52" stopIfTrue="1" operator="lessThanOrEqual">
      <formula>$E$116</formula>
    </cfRule>
  </conditionalFormatting>
  <conditionalFormatting sqref="H118:Q118">
    <cfRule type="cellIs" dxfId="55" priority="49" stopIfTrue="1" operator="lessThanOrEqual">
      <formula>$E$118</formula>
    </cfRule>
    <cfRule type="cellIs" dxfId="54" priority="50" stopIfTrue="1" operator="greaterThan">
      <formula>$E$118</formula>
    </cfRule>
  </conditionalFormatting>
  <conditionalFormatting sqref="H99:Q99">
    <cfRule type="cellIs" dxfId="53" priority="47" operator="greaterThan">
      <formula>$E$99</formula>
    </cfRule>
    <cfRule type="cellIs" dxfId="52" priority="48" operator="lessThanOrEqual">
      <formula>$E$99</formula>
    </cfRule>
  </conditionalFormatting>
  <conditionalFormatting sqref="H102:Q102">
    <cfRule type="cellIs" dxfId="51" priority="45" stopIfTrue="1" operator="greaterThanOrEqual">
      <formula>$E$102</formula>
    </cfRule>
    <cfRule type="cellIs" dxfId="50" priority="46" stopIfTrue="1" operator="lessThan">
      <formula>$E$102</formula>
    </cfRule>
  </conditionalFormatting>
  <conditionalFormatting sqref="H104:Q104">
    <cfRule type="cellIs" dxfId="49" priority="43" stopIfTrue="1" operator="lessThan">
      <formula>$E$104</formula>
    </cfRule>
    <cfRule type="cellIs" dxfId="48" priority="44" stopIfTrue="1" operator="greaterThanOrEqual">
      <formula>$E$104</formula>
    </cfRule>
  </conditionalFormatting>
  <conditionalFormatting sqref="H103:Q103">
    <cfRule type="cellIs" dxfId="47" priority="41" stopIfTrue="1" operator="greaterThan">
      <formula>$E$103</formula>
    </cfRule>
    <cfRule type="cellIs" dxfId="46" priority="42" stopIfTrue="1" operator="lessThanOrEqual">
      <formula>$E$103</formula>
    </cfRule>
  </conditionalFormatting>
  <conditionalFormatting sqref="H100:Q100">
    <cfRule type="cellIs" dxfId="45" priority="30" stopIfTrue="1" operator="between">
      <formula>$D$100</formula>
      <formula>$E$100</formula>
    </cfRule>
    <cfRule type="cellIs" dxfId="44" priority="39" stopIfTrue="1" operator="lessThanOrEqual">
      <formula>$D$100</formula>
    </cfRule>
    <cfRule type="cellIs" dxfId="43" priority="40" stopIfTrue="1" operator="greaterThan">
      <formula>$E$100</formula>
    </cfRule>
  </conditionalFormatting>
  <conditionalFormatting sqref="H117:Q117">
    <cfRule type="cellIs" dxfId="42" priority="37" stopIfTrue="1" operator="greaterThan">
      <formula>$E$117</formula>
    </cfRule>
    <cfRule type="cellIs" dxfId="41" priority="38" stopIfTrue="1" operator="lessThanOrEqual">
      <formula>$E$117</formula>
    </cfRule>
  </conditionalFormatting>
  <conditionalFormatting sqref="H107:Q107">
    <cfRule type="cellIs" dxfId="40" priority="35" stopIfTrue="1" operator="greaterThan">
      <formula>$E$107</formula>
    </cfRule>
    <cfRule type="cellIs" dxfId="39" priority="36" stopIfTrue="1" operator="lessThanOrEqual">
      <formula>$E$107</formula>
    </cfRule>
  </conditionalFormatting>
  <conditionalFormatting sqref="H108:Q108">
    <cfRule type="cellIs" dxfId="38" priority="33" stopIfTrue="1" operator="lessThan">
      <formula>$E$108</formula>
    </cfRule>
    <cfRule type="cellIs" dxfId="37" priority="34" stopIfTrue="1" operator="greaterThanOrEqual">
      <formula>$E$108</formula>
    </cfRule>
  </conditionalFormatting>
  <conditionalFormatting sqref="H93:Q93">
    <cfRule type="cellIs" dxfId="36" priority="53" stopIfTrue="1" operator="lessThan">
      <formula>$D$93</formula>
    </cfRule>
    <cfRule type="cellIs" dxfId="35" priority="54" stopIfTrue="1" operator="between">
      <formula>$D$93</formula>
      <formula>$E$93</formula>
    </cfRule>
    <cfRule type="cellIs" dxfId="34" priority="55" stopIfTrue="1" operator="greaterThan">
      <formula>$E$93</formula>
    </cfRule>
  </conditionalFormatting>
  <conditionalFormatting sqref="H114:Q114">
    <cfRule type="cellIs" dxfId="33" priority="56" stopIfTrue="1" operator="lessThan">
      <formula>$E$114</formula>
    </cfRule>
    <cfRule type="cellIs" dxfId="32" priority="57" stopIfTrue="1" operator="between">
      <formula>$D$114</formula>
      <formula>$E$114</formula>
    </cfRule>
    <cfRule type="cellIs" dxfId="31" priority="58" stopIfTrue="1" operator="greaterThanOrEqual">
      <formula>$D$114</formula>
    </cfRule>
  </conditionalFormatting>
  <conditionalFormatting sqref="H90:Q90">
    <cfRule type="cellIs" dxfId="30" priority="31" stopIfTrue="1" operator="lessThan">
      <formula>$E$90</formula>
    </cfRule>
    <cfRule type="cellIs" dxfId="29" priority="32" stopIfTrue="1" operator="greaterThan">
      <formula>$E$90</formula>
    </cfRule>
  </conditionalFormatting>
  <conditionalFormatting sqref="R116">
    <cfRule type="cellIs" dxfId="28" priority="22" stopIfTrue="1" operator="greaterThan">
      <formula>$E$116</formula>
    </cfRule>
    <cfRule type="cellIs" dxfId="27" priority="23" stopIfTrue="1" operator="lessThanOrEqual">
      <formula>$E$116</formula>
    </cfRule>
  </conditionalFormatting>
  <conditionalFormatting sqref="R118">
    <cfRule type="cellIs" dxfId="26" priority="20" stopIfTrue="1" operator="lessThanOrEqual">
      <formula>$E$118</formula>
    </cfRule>
    <cfRule type="cellIs" dxfId="25" priority="21" stopIfTrue="1" operator="greaterThan">
      <formula>$E$118</formula>
    </cfRule>
  </conditionalFormatting>
  <conditionalFormatting sqref="R99">
    <cfRule type="cellIs" dxfId="24" priority="18" operator="greaterThan">
      <formula>$E$99</formula>
    </cfRule>
    <cfRule type="cellIs" dxfId="23" priority="19" operator="lessThanOrEqual">
      <formula>$E$99</formula>
    </cfRule>
  </conditionalFormatting>
  <conditionalFormatting sqref="R102">
    <cfRule type="cellIs" dxfId="22" priority="16" stopIfTrue="1" operator="greaterThanOrEqual">
      <formula>$E$102</formula>
    </cfRule>
    <cfRule type="cellIs" dxfId="21" priority="17" stopIfTrue="1" operator="lessThan">
      <formula>$E$102</formula>
    </cfRule>
  </conditionalFormatting>
  <conditionalFormatting sqref="R104">
    <cfRule type="cellIs" dxfId="20" priority="14" stopIfTrue="1" operator="lessThan">
      <formula>$E$104</formula>
    </cfRule>
    <cfRule type="cellIs" dxfId="19" priority="15" stopIfTrue="1" operator="greaterThanOrEqual">
      <formula>$E$104</formula>
    </cfRule>
  </conditionalFormatting>
  <conditionalFormatting sqref="R103">
    <cfRule type="cellIs" dxfId="18" priority="12" stopIfTrue="1" operator="greaterThan">
      <formula>$E$103</formula>
    </cfRule>
    <cfRule type="cellIs" dxfId="17" priority="13" stopIfTrue="1" operator="lessThanOrEqual">
      <formula>$E$103</formula>
    </cfRule>
  </conditionalFormatting>
  <conditionalFormatting sqref="R100">
    <cfRule type="cellIs" dxfId="16" priority="1" stopIfTrue="1" operator="between">
      <formula>$D$100</formula>
      <formula>$E$100</formula>
    </cfRule>
    <cfRule type="cellIs" dxfId="15" priority="10" stopIfTrue="1" operator="lessThanOrEqual">
      <formula>$D$100</formula>
    </cfRule>
    <cfRule type="cellIs" dxfId="14" priority="11" stopIfTrue="1" operator="greaterThan">
      <formula>$E$100</formula>
    </cfRule>
  </conditionalFormatting>
  <conditionalFormatting sqref="R117">
    <cfRule type="cellIs" dxfId="13" priority="8" stopIfTrue="1" operator="greaterThan">
      <formula>$E$117</formula>
    </cfRule>
    <cfRule type="cellIs" dxfId="12" priority="9" stopIfTrue="1" operator="lessThanOrEqual">
      <formula>$E$117</formula>
    </cfRule>
  </conditionalFormatting>
  <conditionalFormatting sqref="R107">
    <cfRule type="cellIs" dxfId="11" priority="6" stopIfTrue="1" operator="greaterThan">
      <formula>$E$107</formula>
    </cfRule>
    <cfRule type="cellIs" dxfId="10" priority="7" stopIfTrue="1" operator="lessThanOrEqual">
      <formula>$E$107</formula>
    </cfRule>
  </conditionalFormatting>
  <conditionalFormatting sqref="R108">
    <cfRule type="cellIs" dxfId="9" priority="4" stopIfTrue="1" operator="lessThan">
      <formula>$E$108</formula>
    </cfRule>
    <cfRule type="cellIs" dxfId="8" priority="5" stopIfTrue="1" operator="greaterThanOrEqual">
      <formula>$E$108</formula>
    </cfRule>
  </conditionalFormatting>
  <conditionalFormatting sqref="R93">
    <cfRule type="cellIs" dxfId="7" priority="24" stopIfTrue="1" operator="lessThan">
      <formula>$D$93</formula>
    </cfRule>
    <cfRule type="cellIs" dxfId="6" priority="25" stopIfTrue="1" operator="between">
      <formula>$D$93</formula>
      <formula>$E$93</formula>
    </cfRule>
    <cfRule type="cellIs" dxfId="5" priority="26" stopIfTrue="1" operator="greaterThan">
      <formula>$E$93</formula>
    </cfRule>
  </conditionalFormatting>
  <conditionalFormatting sqref="R114">
    <cfRule type="cellIs" dxfId="4" priority="27" stopIfTrue="1" operator="lessThan">
      <formula>$E$114</formula>
    </cfRule>
    <cfRule type="cellIs" dxfId="3" priority="28" stopIfTrue="1" operator="between">
      <formula>$D$114</formula>
      <formula>$E$114</formula>
    </cfRule>
    <cfRule type="cellIs" dxfId="2" priority="29" stopIfTrue="1" operator="greaterThanOrEqual">
      <formula>$D$114</formula>
    </cfRule>
  </conditionalFormatting>
  <conditionalFormatting sqref="R90">
    <cfRule type="cellIs" dxfId="1" priority="2" stopIfTrue="1" operator="lessThan">
      <formula>$E$90</formula>
    </cfRule>
    <cfRule type="cellIs" dxfId="0" priority="3" stopIfTrue="1" operator="greaterThan">
      <formula>$E$90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21.570312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21.570312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21.570312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21.570312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21.570312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21.570312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21.570312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21.570312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21.570312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21.570312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21.570312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21.570312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21.570312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21.570312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21.570312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21.570312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21.570312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21.570312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21.570312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21.570312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21.570312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21.570312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21.570312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21.570312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21.570312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21.570312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21.570312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21.570312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21.570312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21.570312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21.570312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21.570312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21.570312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21.570312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21.570312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21.570312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21.570312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21.570312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21.570312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21.570312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21.570312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21.570312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21.570312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21.570312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21.570312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21.570312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21.570312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21.570312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21.570312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21.570312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21.570312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21.570312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21.570312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21.570312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21.570312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21.570312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21.570312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21.570312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21.570312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21.570312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21.570312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21.570312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21.570312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21.570312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909" t="s">
        <v>491</v>
      </c>
      <c r="H2" s="910" t="s">
        <v>492</v>
      </c>
      <c r="I2" s="911"/>
      <c r="J2" s="911"/>
      <c r="K2" s="1180" t="s">
        <v>6</v>
      </c>
      <c r="L2" s="1181"/>
      <c r="M2" s="1182" t="s">
        <v>493</v>
      </c>
      <c r="N2" s="1183"/>
      <c r="O2" s="1183"/>
      <c r="P2" s="1183"/>
      <c r="Q2" s="1183"/>
      <c r="R2" s="1184"/>
    </row>
    <row r="3" spans="1:18" x14ac:dyDescent="0.2">
      <c r="A3" s="1"/>
      <c r="B3" s="10"/>
      <c r="C3" s="3"/>
      <c r="D3" s="3"/>
      <c r="E3" s="1"/>
      <c r="F3" s="1"/>
      <c r="G3" s="912" t="s">
        <v>7</v>
      </c>
      <c r="H3" s="208">
        <v>40908</v>
      </c>
      <c r="I3" s="208">
        <v>41274</v>
      </c>
      <c r="J3" s="208">
        <v>41639</v>
      </c>
      <c r="K3" s="208">
        <v>42004</v>
      </c>
      <c r="L3" s="913">
        <v>42369</v>
      </c>
      <c r="M3" s="913">
        <v>42735</v>
      </c>
      <c r="N3" s="913">
        <v>43100</v>
      </c>
      <c r="O3" s="913">
        <v>43465</v>
      </c>
      <c r="P3" s="913">
        <v>43830</v>
      </c>
      <c r="Q3" s="913">
        <v>44196</v>
      </c>
      <c r="R3" s="913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914" t="s">
        <v>9</v>
      </c>
      <c r="H4" s="915">
        <f t="shared" ref="H4:R4" si="0">H5+H10</f>
        <v>398.11599999999999</v>
      </c>
      <c r="I4" s="915">
        <f t="shared" si="0"/>
        <v>410.91500000000002</v>
      </c>
      <c r="J4" s="915">
        <f t="shared" si="0"/>
        <v>385.97699999999998</v>
      </c>
      <c r="K4" s="915">
        <f t="shared" si="0"/>
        <v>357.05400000000003</v>
      </c>
      <c r="L4" s="915">
        <f t="shared" si="0"/>
        <v>338.26099999999997</v>
      </c>
      <c r="M4" s="915">
        <f t="shared" si="0"/>
        <v>380.62700000000001</v>
      </c>
      <c r="N4" s="915">
        <f t="shared" si="0"/>
        <v>380.62299999999999</v>
      </c>
      <c r="O4" s="915">
        <f t="shared" si="0"/>
        <v>380.714</v>
      </c>
      <c r="P4" s="915">
        <f t="shared" si="0"/>
        <v>381.12299999999999</v>
      </c>
      <c r="Q4" s="915">
        <f t="shared" si="0"/>
        <v>380.86900000000003</v>
      </c>
      <c r="R4" s="915">
        <f t="shared" si="0"/>
        <v>380.86900000000003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915">
        <f t="shared" ref="H5:Q5" si="1">SUM(H6:H9)</f>
        <v>3.9850000000000003</v>
      </c>
      <c r="I5" s="915">
        <f t="shared" si="1"/>
        <v>2.3719999999999999</v>
      </c>
      <c r="J5" s="915">
        <f t="shared" si="1"/>
        <v>2.9260000000000002</v>
      </c>
      <c r="K5" s="915">
        <f t="shared" si="1"/>
        <v>9.1820000000000004</v>
      </c>
      <c r="L5" s="915">
        <f t="shared" si="1"/>
        <v>14.745999999999999</v>
      </c>
      <c r="M5" s="915">
        <f t="shared" si="1"/>
        <v>71.469000000000008</v>
      </c>
      <c r="N5" s="915">
        <f t="shared" si="1"/>
        <v>17</v>
      </c>
      <c r="O5" s="915">
        <f t="shared" si="1"/>
        <v>28</v>
      </c>
      <c r="P5" s="915">
        <f t="shared" si="1"/>
        <v>39</v>
      </c>
      <c r="Q5" s="915">
        <f t="shared" si="1"/>
        <v>49</v>
      </c>
      <c r="R5" s="915">
        <f>SUM(R6:R9)</f>
        <v>52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916">
        <v>2.1110000000000002</v>
      </c>
      <c r="I6" s="916">
        <v>0.92500000000000004</v>
      </c>
      <c r="J6" s="916">
        <v>1.736</v>
      </c>
      <c r="K6" s="916">
        <v>7.4829999999999997</v>
      </c>
      <c r="L6" s="916">
        <v>12.79</v>
      </c>
      <c r="M6" s="916">
        <v>68.516000000000005</v>
      </c>
      <c r="N6" s="916">
        <v>14</v>
      </c>
      <c r="O6" s="916">
        <v>24</v>
      </c>
      <c r="P6" s="916">
        <v>35</v>
      </c>
      <c r="Q6" s="916">
        <v>44</v>
      </c>
      <c r="R6" s="916">
        <v>47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916">
        <v>1.8740000000000001</v>
      </c>
      <c r="I7" s="916">
        <v>1.4470000000000001</v>
      </c>
      <c r="J7" s="916">
        <v>1.19</v>
      </c>
      <c r="K7" s="916">
        <v>1.6990000000000001</v>
      </c>
      <c r="L7" s="916">
        <v>1.956</v>
      </c>
      <c r="M7" s="916">
        <v>2.9529999999999998</v>
      </c>
      <c r="N7" s="916">
        <v>3</v>
      </c>
      <c r="O7" s="916">
        <v>4</v>
      </c>
      <c r="P7" s="916">
        <v>4</v>
      </c>
      <c r="Q7" s="916">
        <v>5</v>
      </c>
      <c r="R7" s="916">
        <v>5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916">
        <v>0</v>
      </c>
      <c r="I8" s="916">
        <v>0</v>
      </c>
      <c r="J8" s="916">
        <v>0</v>
      </c>
      <c r="K8" s="916">
        <v>0</v>
      </c>
      <c r="L8" s="916">
        <v>0</v>
      </c>
      <c r="M8" s="916">
        <v>0</v>
      </c>
      <c r="N8" s="916">
        <v>0</v>
      </c>
      <c r="O8" s="916">
        <v>0</v>
      </c>
      <c r="P8" s="916">
        <v>0</v>
      </c>
      <c r="Q8" s="916">
        <v>0</v>
      </c>
      <c r="R8" s="916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916">
        <v>0</v>
      </c>
      <c r="I9" s="916">
        <v>0</v>
      </c>
      <c r="J9" s="916">
        <v>0</v>
      </c>
      <c r="K9" s="916">
        <v>0</v>
      </c>
      <c r="L9" s="916">
        <v>0</v>
      </c>
      <c r="M9" s="916">
        <v>0</v>
      </c>
      <c r="N9" s="916">
        <v>0</v>
      </c>
      <c r="O9" s="916">
        <v>0</v>
      </c>
      <c r="P9" s="916">
        <v>0</v>
      </c>
      <c r="Q9" s="916">
        <v>0</v>
      </c>
      <c r="R9" s="916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915">
        <f>SUM(H11:H16)</f>
        <v>394.13099999999997</v>
      </c>
      <c r="I10" s="915">
        <f t="shared" ref="I10:R10" si="2">SUM(I11:I16)</f>
        <v>408.54300000000001</v>
      </c>
      <c r="J10" s="915">
        <f t="shared" si="2"/>
        <v>383.05099999999999</v>
      </c>
      <c r="K10" s="915">
        <f t="shared" si="2"/>
        <v>347.87200000000001</v>
      </c>
      <c r="L10" s="915">
        <f t="shared" si="2"/>
        <v>323.51499999999999</v>
      </c>
      <c r="M10" s="915">
        <f t="shared" si="2"/>
        <v>309.15800000000002</v>
      </c>
      <c r="N10" s="915">
        <f t="shared" si="2"/>
        <v>363.62299999999999</v>
      </c>
      <c r="O10" s="915">
        <f t="shared" si="2"/>
        <v>352.714</v>
      </c>
      <c r="P10" s="915">
        <f t="shared" si="2"/>
        <v>342.12299999999999</v>
      </c>
      <c r="Q10" s="915">
        <f t="shared" si="2"/>
        <v>331.86900000000003</v>
      </c>
      <c r="R10" s="915">
        <f t="shared" si="2"/>
        <v>328.86900000000003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916">
        <v>0</v>
      </c>
      <c r="I11" s="916">
        <v>0</v>
      </c>
      <c r="J11" s="916">
        <v>0</v>
      </c>
      <c r="K11" s="916">
        <v>0</v>
      </c>
      <c r="L11" s="916">
        <v>0</v>
      </c>
      <c r="M11" s="916">
        <v>0</v>
      </c>
      <c r="N11" s="916">
        <v>0</v>
      </c>
      <c r="O11" s="916">
        <v>0</v>
      </c>
      <c r="P11" s="916">
        <v>0</v>
      </c>
      <c r="Q11" s="916">
        <v>0</v>
      </c>
      <c r="R11" s="916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916">
        <v>0</v>
      </c>
      <c r="I12" s="916">
        <v>0</v>
      </c>
      <c r="J12" s="916">
        <v>0</v>
      </c>
      <c r="K12" s="916">
        <v>0</v>
      </c>
      <c r="L12" s="916">
        <v>0</v>
      </c>
      <c r="M12" s="916">
        <v>0</v>
      </c>
      <c r="N12" s="916">
        <v>0</v>
      </c>
      <c r="O12" s="916">
        <v>0</v>
      </c>
      <c r="P12" s="916">
        <v>0</v>
      </c>
      <c r="Q12" s="916">
        <v>0</v>
      </c>
      <c r="R12" s="916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916">
        <v>0</v>
      </c>
      <c r="I13" s="916">
        <v>0</v>
      </c>
      <c r="J13" s="916">
        <v>0</v>
      </c>
      <c r="K13" s="916">
        <v>0</v>
      </c>
      <c r="L13" s="916">
        <v>0</v>
      </c>
      <c r="M13" s="916">
        <v>0</v>
      </c>
      <c r="N13" s="916">
        <v>0</v>
      </c>
      <c r="O13" s="916">
        <v>0</v>
      </c>
      <c r="P13" s="916">
        <v>0</v>
      </c>
      <c r="Q13" s="916">
        <v>0</v>
      </c>
      <c r="R13" s="916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916">
        <v>0</v>
      </c>
      <c r="I14" s="916">
        <v>0</v>
      </c>
      <c r="J14" s="916">
        <v>0</v>
      </c>
      <c r="K14" s="916">
        <v>0</v>
      </c>
      <c r="L14" s="916">
        <v>0</v>
      </c>
      <c r="M14" s="916">
        <v>0</v>
      </c>
      <c r="N14" s="916">
        <v>0</v>
      </c>
      <c r="O14" s="916">
        <v>0</v>
      </c>
      <c r="P14" s="916">
        <v>0</v>
      </c>
      <c r="Q14" s="916">
        <v>0</v>
      </c>
      <c r="R14" s="916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916">
        <v>394.13099999999997</v>
      </c>
      <c r="I15" s="916">
        <v>408.54300000000001</v>
      </c>
      <c r="J15" s="916">
        <v>383.05099999999999</v>
      </c>
      <c r="K15" s="916">
        <v>347.87200000000001</v>
      </c>
      <c r="L15" s="916">
        <v>323.51499999999999</v>
      </c>
      <c r="M15" s="916">
        <v>309.15800000000002</v>
      </c>
      <c r="N15" s="916">
        <v>363.62299999999999</v>
      </c>
      <c r="O15" s="916">
        <v>352.714</v>
      </c>
      <c r="P15" s="916">
        <v>342.12299999999999</v>
      </c>
      <c r="Q15" s="916">
        <v>331.86900000000003</v>
      </c>
      <c r="R15" s="916">
        <v>328.86900000000003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916">
        <v>0</v>
      </c>
      <c r="I16" s="916">
        <v>0</v>
      </c>
      <c r="J16" s="916">
        <v>0</v>
      </c>
      <c r="K16" s="916">
        <v>0</v>
      </c>
      <c r="L16" s="916">
        <v>0</v>
      </c>
      <c r="M16" s="916">
        <v>0</v>
      </c>
      <c r="N16" s="916">
        <v>0</v>
      </c>
      <c r="O16" s="916">
        <v>0</v>
      </c>
      <c r="P16" s="916">
        <v>0</v>
      </c>
      <c r="Q16" s="916">
        <v>0</v>
      </c>
      <c r="R16" s="916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917">
        <v>0</v>
      </c>
      <c r="I17" s="917">
        <v>0</v>
      </c>
      <c r="J17" s="917">
        <v>0</v>
      </c>
      <c r="K17" s="917">
        <v>0</v>
      </c>
      <c r="L17" s="917">
        <v>0</v>
      </c>
      <c r="M17" s="917">
        <v>0</v>
      </c>
      <c r="N17" s="917">
        <v>0</v>
      </c>
      <c r="O17" s="917">
        <v>0</v>
      </c>
      <c r="P17" s="917">
        <v>0</v>
      </c>
      <c r="Q17" s="917">
        <v>0</v>
      </c>
      <c r="R17" s="917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915">
        <f>H19+H27</f>
        <v>398.11500000000001</v>
      </c>
      <c r="I18" s="915">
        <f t="shared" ref="I18:R18" si="3">I19+I27</f>
        <v>410.91500000000002</v>
      </c>
      <c r="J18" s="915">
        <f t="shared" si="3"/>
        <v>385.97699999999998</v>
      </c>
      <c r="K18" s="915">
        <f t="shared" si="3"/>
        <v>357.05500000000001</v>
      </c>
      <c r="L18" s="915">
        <f t="shared" si="3"/>
        <v>338.26199999999994</v>
      </c>
      <c r="M18" s="915">
        <f t="shared" si="3"/>
        <v>380.62600000000003</v>
      </c>
      <c r="N18" s="915">
        <f t="shared" si="3"/>
        <v>380.74799999999999</v>
      </c>
      <c r="O18" s="915">
        <f t="shared" si="3"/>
        <v>380.74799999999999</v>
      </c>
      <c r="P18" s="915">
        <f t="shared" si="3"/>
        <v>380.74799999999999</v>
      </c>
      <c r="Q18" s="915">
        <f t="shared" si="3"/>
        <v>380.74799999999999</v>
      </c>
      <c r="R18" s="915">
        <f t="shared" si="3"/>
        <v>380.74799999999999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915">
        <f>SUM(H21:H26)</f>
        <v>10.050000000000001</v>
      </c>
      <c r="I19" s="915">
        <f t="shared" ref="I19:R19" si="4">SUM(I21:I26)</f>
        <v>14.765000000000001</v>
      </c>
      <c r="J19" s="915">
        <f t="shared" si="4"/>
        <v>2.617</v>
      </c>
      <c r="K19" s="915">
        <f t="shared" si="4"/>
        <v>4.6379999999999999</v>
      </c>
      <c r="L19" s="915">
        <f t="shared" si="4"/>
        <v>3.46</v>
      </c>
      <c r="M19" s="915">
        <f t="shared" si="4"/>
        <v>4.9130000000000003</v>
      </c>
      <c r="N19" s="915">
        <f t="shared" si="4"/>
        <v>5</v>
      </c>
      <c r="O19" s="915">
        <f t="shared" si="4"/>
        <v>5</v>
      </c>
      <c r="P19" s="915">
        <f t="shared" si="4"/>
        <v>5</v>
      </c>
      <c r="Q19" s="915">
        <f t="shared" si="4"/>
        <v>5</v>
      </c>
      <c r="R19" s="915">
        <f t="shared" si="4"/>
        <v>5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918">
        <v>10.050000000000001</v>
      </c>
      <c r="I20" s="918">
        <v>14.765000000000001</v>
      </c>
      <c r="J20" s="918">
        <v>2.617</v>
      </c>
      <c r="K20" s="918">
        <v>4.6379999999999999</v>
      </c>
      <c r="L20" s="918">
        <v>3.46</v>
      </c>
      <c r="M20" s="918">
        <v>4.9130000000000003</v>
      </c>
      <c r="N20" s="918">
        <v>5</v>
      </c>
      <c r="O20" s="918">
        <v>5</v>
      </c>
      <c r="P20" s="918">
        <v>5</v>
      </c>
      <c r="Q20" s="918">
        <v>5</v>
      </c>
      <c r="R20" s="918">
        <v>5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916">
        <v>10.050000000000001</v>
      </c>
      <c r="I21" s="916">
        <v>14.765000000000001</v>
      </c>
      <c r="J21" s="916">
        <v>2.617</v>
      </c>
      <c r="K21" s="916">
        <v>4.6379999999999999</v>
      </c>
      <c r="L21" s="916">
        <v>3.46</v>
      </c>
      <c r="M21" s="916">
        <v>4.9130000000000003</v>
      </c>
      <c r="N21" s="916">
        <v>5</v>
      </c>
      <c r="O21" s="916">
        <v>5</v>
      </c>
      <c r="P21" s="916">
        <v>5</v>
      </c>
      <c r="Q21" s="916">
        <v>5</v>
      </c>
      <c r="R21" s="916">
        <v>5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916">
        <v>0</v>
      </c>
      <c r="I22" s="916">
        <v>0</v>
      </c>
      <c r="J22" s="916">
        <v>0</v>
      </c>
      <c r="K22" s="916">
        <v>0</v>
      </c>
      <c r="L22" s="916">
        <v>0</v>
      </c>
      <c r="M22" s="916">
        <v>0</v>
      </c>
      <c r="N22" s="916">
        <v>0</v>
      </c>
      <c r="O22" s="916">
        <v>0</v>
      </c>
      <c r="P22" s="916">
        <v>0</v>
      </c>
      <c r="Q22" s="916">
        <v>0</v>
      </c>
      <c r="R22" s="916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916">
        <v>0</v>
      </c>
      <c r="I23" s="916">
        <v>0</v>
      </c>
      <c r="J23" s="916">
        <v>0</v>
      </c>
      <c r="K23" s="916">
        <v>0</v>
      </c>
      <c r="L23" s="916">
        <v>0</v>
      </c>
      <c r="M23" s="916">
        <v>0</v>
      </c>
      <c r="N23" s="916">
        <v>0</v>
      </c>
      <c r="O23" s="916">
        <v>0</v>
      </c>
      <c r="P23" s="916">
        <v>0</v>
      </c>
      <c r="Q23" s="916">
        <v>0</v>
      </c>
      <c r="R23" s="916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916">
        <v>0</v>
      </c>
      <c r="I24" s="916">
        <v>0</v>
      </c>
      <c r="J24" s="916">
        <v>0</v>
      </c>
      <c r="K24" s="916">
        <v>0</v>
      </c>
      <c r="L24" s="916">
        <v>0</v>
      </c>
      <c r="M24" s="916">
        <v>0</v>
      </c>
      <c r="N24" s="916">
        <v>0</v>
      </c>
      <c r="O24" s="916">
        <v>0</v>
      </c>
      <c r="P24" s="916">
        <v>0</v>
      </c>
      <c r="Q24" s="916">
        <v>0</v>
      </c>
      <c r="R24" s="916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916">
        <v>0</v>
      </c>
      <c r="I25" s="916">
        <v>0</v>
      </c>
      <c r="J25" s="916">
        <v>0</v>
      </c>
      <c r="K25" s="916">
        <v>0</v>
      </c>
      <c r="L25" s="916">
        <v>0</v>
      </c>
      <c r="M25" s="916">
        <v>0</v>
      </c>
      <c r="N25" s="916">
        <v>0</v>
      </c>
      <c r="O25" s="916">
        <v>0</v>
      </c>
      <c r="P25" s="916">
        <v>0</v>
      </c>
      <c r="Q25" s="916">
        <v>0</v>
      </c>
      <c r="R25" s="916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916">
        <v>0</v>
      </c>
      <c r="I26" s="916">
        <v>0</v>
      </c>
      <c r="J26" s="916">
        <v>0</v>
      </c>
      <c r="K26" s="916">
        <v>0</v>
      </c>
      <c r="L26" s="916">
        <v>0</v>
      </c>
      <c r="M26" s="916">
        <v>0</v>
      </c>
      <c r="N26" s="916">
        <v>0</v>
      </c>
      <c r="O26" s="916">
        <v>0</v>
      </c>
      <c r="P26" s="916">
        <v>0</v>
      </c>
      <c r="Q26" s="916">
        <v>0</v>
      </c>
      <c r="R26" s="916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915">
        <f>SUM(H28:H30)</f>
        <v>388.065</v>
      </c>
      <c r="I27" s="915">
        <f t="shared" ref="I27:R27" si="5">SUM(I28:I30)</f>
        <v>396.15000000000003</v>
      </c>
      <c r="J27" s="915">
        <f t="shared" si="5"/>
        <v>383.35999999999996</v>
      </c>
      <c r="K27" s="915">
        <f t="shared" si="5"/>
        <v>352.41700000000003</v>
      </c>
      <c r="L27" s="915">
        <f t="shared" si="5"/>
        <v>334.80199999999996</v>
      </c>
      <c r="M27" s="915">
        <f t="shared" si="5"/>
        <v>375.71300000000002</v>
      </c>
      <c r="N27" s="915">
        <f t="shared" si="5"/>
        <v>375.74799999999999</v>
      </c>
      <c r="O27" s="915">
        <f t="shared" si="5"/>
        <v>375.74799999999999</v>
      </c>
      <c r="P27" s="915">
        <f t="shared" si="5"/>
        <v>375.74799999999999</v>
      </c>
      <c r="Q27" s="915">
        <f t="shared" si="5"/>
        <v>375.74799999999999</v>
      </c>
      <c r="R27" s="915">
        <f t="shared" si="5"/>
        <v>375.74799999999999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916">
        <v>103.965</v>
      </c>
      <c r="I28" s="916">
        <v>103.965</v>
      </c>
      <c r="J28" s="916">
        <v>103.965</v>
      </c>
      <c r="K28" s="916">
        <v>103.965</v>
      </c>
      <c r="L28" s="916">
        <v>103.965</v>
      </c>
      <c r="M28" s="916">
        <v>103.965</v>
      </c>
      <c r="N28" s="916">
        <v>104</v>
      </c>
      <c r="O28" s="916">
        <v>104</v>
      </c>
      <c r="P28" s="916">
        <v>104</v>
      </c>
      <c r="Q28" s="916">
        <v>104</v>
      </c>
      <c r="R28" s="916">
        <v>104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916">
        <v>300.47800000000001</v>
      </c>
      <c r="I29" s="916">
        <f>H29+H30</f>
        <v>284.10000000000002</v>
      </c>
      <c r="J29" s="916">
        <f>I29+I30</f>
        <v>292.185</v>
      </c>
      <c r="K29" s="916">
        <f>J29+J30</f>
        <v>279.39499999999998</v>
      </c>
      <c r="L29" s="916">
        <f>K29+K30</f>
        <v>248.45199999999997</v>
      </c>
      <c r="M29" s="916">
        <v>230.83600000000001</v>
      </c>
      <c r="N29" s="916">
        <v>271.74799999999999</v>
      </c>
      <c r="O29" s="916">
        <v>271.74799999999999</v>
      </c>
      <c r="P29" s="916">
        <v>271.74799999999999</v>
      </c>
      <c r="Q29" s="916">
        <v>271.74799999999999</v>
      </c>
      <c r="R29" s="916">
        <v>271.74799999999999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916">
        <v>-16.378</v>
      </c>
      <c r="I30" s="916">
        <v>8.0850000000000009</v>
      </c>
      <c r="J30" s="916">
        <v>-12.79</v>
      </c>
      <c r="K30" s="916">
        <v>-30.943000000000001</v>
      </c>
      <c r="L30" s="916">
        <v>-17.614999999999998</v>
      </c>
      <c r="M30" s="916">
        <v>40.911999999999999</v>
      </c>
      <c r="N30" s="916">
        <v>0</v>
      </c>
      <c r="O30" s="916">
        <v>0</v>
      </c>
      <c r="P30" s="916">
        <v>0</v>
      </c>
      <c r="Q30" s="916">
        <v>0</v>
      </c>
      <c r="R30" s="916">
        <v>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919">
        <f t="shared" ref="H31:R31" si="6">H4-H18</f>
        <v>9.9999999997635314E-4</v>
      </c>
      <c r="I31" s="919">
        <f t="shared" si="6"/>
        <v>0</v>
      </c>
      <c r="J31" s="919">
        <f t="shared" si="6"/>
        <v>0</v>
      </c>
      <c r="K31" s="919">
        <f t="shared" si="6"/>
        <v>-9.9999999997635314E-4</v>
      </c>
      <c r="L31" s="919">
        <f t="shared" si="6"/>
        <v>-9.9999999997635314E-4</v>
      </c>
      <c r="M31" s="919">
        <f t="shared" si="6"/>
        <v>9.9999999997635314E-4</v>
      </c>
      <c r="N31" s="919">
        <f t="shared" si="6"/>
        <v>-0.125</v>
      </c>
      <c r="O31" s="919">
        <f t="shared" si="6"/>
        <v>-3.3999999999991815E-2</v>
      </c>
      <c r="P31" s="919">
        <f t="shared" si="6"/>
        <v>0.375</v>
      </c>
      <c r="Q31" s="919">
        <f t="shared" si="6"/>
        <v>0.12100000000003774</v>
      </c>
      <c r="R31" s="919">
        <f t="shared" si="6"/>
        <v>0.12100000000003774</v>
      </c>
      <c r="S31" s="4"/>
    </row>
    <row r="32" spans="1:19" x14ac:dyDescent="0.2">
      <c r="G32" s="912" t="s">
        <v>78</v>
      </c>
      <c r="H32" s="920">
        <v>2011</v>
      </c>
      <c r="I32" s="920">
        <f t="shared" ref="I32:R32" si="7">H32+1</f>
        <v>2012</v>
      </c>
      <c r="J32" s="920">
        <f t="shared" si="7"/>
        <v>2013</v>
      </c>
      <c r="K32" s="920">
        <f t="shared" si="7"/>
        <v>2014</v>
      </c>
      <c r="L32" s="920">
        <f t="shared" si="7"/>
        <v>2015</v>
      </c>
      <c r="M32" s="920">
        <f t="shared" si="7"/>
        <v>2016</v>
      </c>
      <c r="N32" s="920">
        <f t="shared" si="7"/>
        <v>2017</v>
      </c>
      <c r="O32" s="920">
        <f t="shared" si="7"/>
        <v>2018</v>
      </c>
      <c r="P32" s="920">
        <f t="shared" si="7"/>
        <v>2019</v>
      </c>
      <c r="Q32" s="920">
        <f t="shared" si="7"/>
        <v>2020</v>
      </c>
      <c r="R32" s="920">
        <f t="shared" si="7"/>
        <v>2021</v>
      </c>
    </row>
    <row r="33" spans="1:20" x14ac:dyDescent="0.2">
      <c r="B33" s="2" t="s">
        <v>79</v>
      </c>
      <c r="C33" s="19">
        <v>3</v>
      </c>
      <c r="G33" s="914" t="s">
        <v>80</v>
      </c>
      <c r="H33" s="915">
        <f>SUM(H34:H37)</f>
        <v>82.899000000000001</v>
      </c>
      <c r="I33" s="915">
        <f t="shared" ref="I33:R33" si="8">SUM(I34:I37)</f>
        <v>118.697</v>
      </c>
      <c r="J33" s="915">
        <f t="shared" si="8"/>
        <v>95.220999999999989</v>
      </c>
      <c r="K33" s="915">
        <f t="shared" si="8"/>
        <v>80.42</v>
      </c>
      <c r="L33" s="915">
        <f t="shared" si="8"/>
        <v>90.760999999999996</v>
      </c>
      <c r="M33" s="915">
        <f t="shared" si="8"/>
        <v>156.08699999999999</v>
      </c>
      <c r="N33" s="915">
        <f t="shared" si="8"/>
        <v>172.357</v>
      </c>
      <c r="O33" s="915">
        <f t="shared" si="8"/>
        <v>170.624</v>
      </c>
      <c r="P33" s="915">
        <f t="shared" si="8"/>
        <v>135.608</v>
      </c>
      <c r="Q33" s="915">
        <f t="shared" si="8"/>
        <v>129.16899999999998</v>
      </c>
      <c r="R33" s="915">
        <f t="shared" si="8"/>
        <v>130.46100000000001</v>
      </c>
    </row>
    <row r="34" spans="1:20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916">
        <v>0</v>
      </c>
      <c r="I34" s="916">
        <v>0</v>
      </c>
      <c r="J34" s="916">
        <v>0</v>
      </c>
      <c r="K34" s="916">
        <v>0</v>
      </c>
      <c r="L34" s="916">
        <v>0</v>
      </c>
      <c r="M34" s="916">
        <v>0</v>
      </c>
      <c r="N34" s="916">
        <v>0</v>
      </c>
      <c r="O34" s="916">
        <v>0</v>
      </c>
      <c r="P34" s="916">
        <v>0</v>
      </c>
      <c r="Q34" s="916">
        <v>0</v>
      </c>
      <c r="R34" s="916">
        <v>0</v>
      </c>
    </row>
    <row r="35" spans="1:20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916">
        <v>15.678000000000001</v>
      </c>
      <c r="I35" s="916">
        <v>14.984999999999999</v>
      </c>
      <c r="J35" s="916">
        <v>27.282</v>
      </c>
      <c r="K35" s="916">
        <v>20.849</v>
      </c>
      <c r="L35" s="916">
        <v>29.5</v>
      </c>
      <c r="M35" s="916">
        <v>31.684999999999999</v>
      </c>
      <c r="N35" s="916">
        <v>29.349</v>
      </c>
      <c r="O35" s="916">
        <v>29.6</v>
      </c>
      <c r="P35" s="916">
        <v>29.956</v>
      </c>
      <c r="Q35" s="916">
        <v>30.215</v>
      </c>
      <c r="R35" s="916">
        <v>30.516999999999999</v>
      </c>
      <c r="T35" s="921"/>
    </row>
    <row r="36" spans="1:20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916">
        <v>67.174999999999997</v>
      </c>
      <c r="I36" s="916">
        <v>103.631</v>
      </c>
      <c r="J36" s="916">
        <v>67.938999999999993</v>
      </c>
      <c r="K36" s="916">
        <v>59.570999999999998</v>
      </c>
      <c r="L36" s="916">
        <v>61.261000000000003</v>
      </c>
      <c r="M36" s="916">
        <v>124.402</v>
      </c>
      <c r="N36" s="916">
        <v>93.734999999999999</v>
      </c>
      <c r="O36" s="916">
        <v>141.024</v>
      </c>
      <c r="P36" s="916">
        <v>105.652</v>
      </c>
      <c r="Q36" s="916">
        <v>98.953999999999994</v>
      </c>
      <c r="R36" s="916">
        <v>99.944000000000003</v>
      </c>
    </row>
    <row r="37" spans="1:20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916">
        <v>4.5999999999999999E-2</v>
      </c>
      <c r="I37" s="916">
        <v>8.1000000000000003E-2</v>
      </c>
      <c r="J37" s="916">
        <v>0</v>
      </c>
      <c r="K37" s="916">
        <v>0</v>
      </c>
      <c r="L37" s="916">
        <v>0</v>
      </c>
      <c r="M37" s="916">
        <v>0</v>
      </c>
      <c r="N37" s="916">
        <v>49.273000000000003</v>
      </c>
      <c r="O37" s="916">
        <v>0</v>
      </c>
      <c r="P37" s="916">
        <v>0</v>
      </c>
      <c r="Q37" s="916">
        <v>0</v>
      </c>
      <c r="R37" s="916">
        <v>0</v>
      </c>
    </row>
    <row r="38" spans="1:20" x14ac:dyDescent="0.2">
      <c r="B38" s="2" t="s">
        <v>89</v>
      </c>
      <c r="C38" s="19">
        <v>4</v>
      </c>
      <c r="E38" s="42"/>
      <c r="G38" s="18" t="s">
        <v>90</v>
      </c>
      <c r="H38" s="915">
        <f>H39+H40</f>
        <v>0</v>
      </c>
      <c r="I38" s="915">
        <f t="shared" ref="I38:R38" si="9">I39+I40</f>
        <v>0</v>
      </c>
      <c r="J38" s="915">
        <f t="shared" si="9"/>
        <v>0</v>
      </c>
      <c r="K38" s="915">
        <f t="shared" si="9"/>
        <v>0</v>
      </c>
      <c r="L38" s="915">
        <f t="shared" si="9"/>
        <v>-0.48</v>
      </c>
      <c r="M38" s="915">
        <f t="shared" si="9"/>
        <v>0</v>
      </c>
      <c r="N38" s="915">
        <f t="shared" si="9"/>
        <v>0</v>
      </c>
      <c r="O38" s="915">
        <f t="shared" si="9"/>
        <v>0</v>
      </c>
      <c r="P38" s="915">
        <f t="shared" si="9"/>
        <v>0</v>
      </c>
      <c r="Q38" s="915">
        <f t="shared" si="9"/>
        <v>0</v>
      </c>
      <c r="R38" s="915">
        <f t="shared" si="9"/>
        <v>0</v>
      </c>
    </row>
    <row r="39" spans="1:20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916">
        <v>0</v>
      </c>
      <c r="I39" s="916">
        <v>0</v>
      </c>
      <c r="J39" s="916">
        <v>0</v>
      </c>
      <c r="K39" s="916">
        <v>0</v>
      </c>
      <c r="L39" s="916">
        <v>0</v>
      </c>
      <c r="M39" s="916">
        <v>0</v>
      </c>
      <c r="N39" s="916">
        <v>0</v>
      </c>
      <c r="O39" s="916">
        <v>0</v>
      </c>
      <c r="P39" s="916">
        <v>0</v>
      </c>
      <c r="Q39" s="916">
        <v>0</v>
      </c>
      <c r="R39" s="916">
        <v>0</v>
      </c>
    </row>
    <row r="40" spans="1:20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916">
        <v>0</v>
      </c>
      <c r="I40" s="916">
        <v>0</v>
      </c>
      <c r="J40" s="916">
        <v>0</v>
      </c>
      <c r="K40" s="916">
        <v>0</v>
      </c>
      <c r="L40" s="916">
        <v>-0.48</v>
      </c>
      <c r="M40" s="916">
        <v>0</v>
      </c>
      <c r="N40" s="916">
        <v>0</v>
      </c>
      <c r="O40" s="916">
        <v>0</v>
      </c>
      <c r="P40" s="916">
        <v>0</v>
      </c>
      <c r="Q40" s="916">
        <v>0</v>
      </c>
      <c r="R40" s="916">
        <v>0</v>
      </c>
    </row>
    <row r="41" spans="1:20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915">
        <f>SUM(H42:H45)</f>
        <v>-99.278999999999996</v>
      </c>
      <c r="I41" s="915">
        <f t="shared" ref="I41:R41" si="10">SUM(I42:I45)</f>
        <v>-110.30499999999999</v>
      </c>
      <c r="J41" s="915">
        <f t="shared" si="10"/>
        <v>-108.012</v>
      </c>
      <c r="K41" s="915">
        <f t="shared" si="10"/>
        <v>-111.36399999999999</v>
      </c>
      <c r="L41" s="915">
        <f t="shared" si="10"/>
        <v>-108.38300000000001</v>
      </c>
      <c r="M41" s="915">
        <f t="shared" si="10"/>
        <v>-115.30499999999999</v>
      </c>
      <c r="N41" s="915">
        <f t="shared" si="10"/>
        <v>-172.357</v>
      </c>
      <c r="O41" s="915">
        <f t="shared" si="10"/>
        <v>-170.62400000000002</v>
      </c>
      <c r="P41" s="915">
        <f t="shared" si="10"/>
        <v>-135.53099999999998</v>
      </c>
      <c r="Q41" s="915">
        <f t="shared" si="10"/>
        <v>-129.17000000000002</v>
      </c>
      <c r="R41" s="915">
        <f t="shared" si="10"/>
        <v>-130.46100000000001</v>
      </c>
    </row>
    <row r="42" spans="1:20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916">
        <v>-38.087000000000003</v>
      </c>
      <c r="I42" s="916">
        <v>-40.552</v>
      </c>
      <c r="J42" s="916">
        <v>-37.646000000000001</v>
      </c>
      <c r="K42" s="916">
        <v>-46.774999999999999</v>
      </c>
      <c r="L42" s="916">
        <v>-48.372</v>
      </c>
      <c r="M42" s="916">
        <v>-56.420999999999999</v>
      </c>
      <c r="N42" s="916">
        <v>-63.585999999999999</v>
      </c>
      <c r="O42" s="916">
        <v>-63.826000000000001</v>
      </c>
      <c r="P42" s="916">
        <v>-65.102999999999994</v>
      </c>
      <c r="Q42" s="916">
        <v>-66.405000000000001</v>
      </c>
      <c r="R42" s="916">
        <v>-67.069000000000003</v>
      </c>
      <c r="T42" s="921"/>
    </row>
    <row r="43" spans="1:20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916">
        <v>-23.678999999999998</v>
      </c>
      <c r="I43" s="916">
        <v>-24.390999999999998</v>
      </c>
      <c r="J43" s="916">
        <v>-30.291</v>
      </c>
      <c r="K43" s="916">
        <v>-26.45</v>
      </c>
      <c r="L43" s="916">
        <v>-31.907</v>
      </c>
      <c r="M43" s="916">
        <v>-39.015999999999998</v>
      </c>
      <c r="N43" s="916">
        <v>-91.600999999999999</v>
      </c>
      <c r="O43" s="916">
        <v>-89.171000000000006</v>
      </c>
      <c r="P43" s="916">
        <v>-52.383000000000003</v>
      </c>
      <c r="Q43" s="916">
        <v>-44.131</v>
      </c>
      <c r="R43" s="916">
        <v>-44.234000000000002</v>
      </c>
    </row>
    <row r="44" spans="1:20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916">
        <v>-6.9509999999999996</v>
      </c>
      <c r="I44" s="916">
        <v>-13.340999999999999</v>
      </c>
      <c r="J44" s="916">
        <v>-5.3410000000000002</v>
      </c>
      <c r="K44" s="916">
        <v>-2.96</v>
      </c>
      <c r="L44" s="916">
        <v>-3.7480000000000002</v>
      </c>
      <c r="M44" s="916">
        <v>-4.41</v>
      </c>
      <c r="N44" s="916">
        <v>-1.248</v>
      </c>
      <c r="O44" s="916">
        <v>-1.228</v>
      </c>
      <c r="P44" s="916">
        <v>-1.1539999999999999</v>
      </c>
      <c r="Q44" s="916">
        <v>-1.236</v>
      </c>
      <c r="R44" s="916">
        <v>-1.238</v>
      </c>
    </row>
    <row r="45" spans="1:20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916">
        <v>-30.562000000000001</v>
      </c>
      <c r="I45" s="916">
        <v>-32.021000000000001</v>
      </c>
      <c r="J45" s="916">
        <v>-34.734000000000002</v>
      </c>
      <c r="K45" s="916">
        <v>-35.179000000000002</v>
      </c>
      <c r="L45" s="916">
        <v>-24.356000000000002</v>
      </c>
      <c r="M45" s="916">
        <v>-15.458</v>
      </c>
      <c r="N45" s="916">
        <v>-15.922000000000001</v>
      </c>
      <c r="O45" s="916">
        <v>-16.399000000000001</v>
      </c>
      <c r="P45" s="916">
        <v>-16.890999999999998</v>
      </c>
      <c r="Q45" s="916">
        <v>-17.398</v>
      </c>
      <c r="R45" s="916">
        <v>-17.920000000000002</v>
      </c>
      <c r="T45" s="921"/>
    </row>
    <row r="46" spans="1:20" x14ac:dyDescent="0.2">
      <c r="B46" s="2" t="s">
        <v>107</v>
      </c>
      <c r="G46" s="18" t="s">
        <v>108</v>
      </c>
      <c r="H46" s="915">
        <f>H33+H38+H41</f>
        <v>-16.379999999999995</v>
      </c>
      <c r="I46" s="915">
        <f t="shared" ref="I46:R46" si="11">I33+I38+I41</f>
        <v>8.3920000000000101</v>
      </c>
      <c r="J46" s="915">
        <f t="shared" si="11"/>
        <v>-12.791000000000011</v>
      </c>
      <c r="K46" s="915">
        <f t="shared" si="11"/>
        <v>-30.943999999999988</v>
      </c>
      <c r="L46" s="915">
        <f t="shared" si="11"/>
        <v>-18.102000000000018</v>
      </c>
      <c r="M46" s="915">
        <f t="shared" si="11"/>
        <v>40.781999999999996</v>
      </c>
      <c r="N46" s="915">
        <f t="shared" si="11"/>
        <v>0</v>
      </c>
      <c r="O46" s="915">
        <f t="shared" si="11"/>
        <v>0</v>
      </c>
      <c r="P46" s="915">
        <f t="shared" si="11"/>
        <v>7.7000000000026603E-2</v>
      </c>
      <c r="Q46" s="915">
        <f t="shared" si="11"/>
        <v>-1.0000000000331966E-3</v>
      </c>
      <c r="R46" s="915">
        <f t="shared" si="11"/>
        <v>0</v>
      </c>
    </row>
    <row r="47" spans="1:20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916">
        <v>2E-3</v>
      </c>
      <c r="I47" s="916">
        <v>0</v>
      </c>
      <c r="J47" s="916">
        <v>0</v>
      </c>
      <c r="K47" s="916">
        <v>0</v>
      </c>
      <c r="L47" s="916">
        <v>8.0000000000000002E-3</v>
      </c>
      <c r="M47" s="916">
        <v>0</v>
      </c>
      <c r="N47" s="916">
        <v>0</v>
      </c>
      <c r="O47" s="916">
        <v>0</v>
      </c>
      <c r="P47" s="916">
        <v>0</v>
      </c>
      <c r="Q47" s="916">
        <v>0</v>
      </c>
      <c r="R47" s="916">
        <v>0</v>
      </c>
    </row>
    <row r="48" spans="1:20" x14ac:dyDescent="0.2">
      <c r="B48" s="2" t="s">
        <v>111</v>
      </c>
      <c r="G48" s="18" t="s">
        <v>112</v>
      </c>
      <c r="H48" s="915">
        <f>H46+H47</f>
        <v>-16.377999999999997</v>
      </c>
      <c r="I48" s="915">
        <f t="shared" ref="I48:R48" si="12">I46+I47</f>
        <v>8.3920000000000101</v>
      </c>
      <c r="J48" s="915">
        <f t="shared" si="12"/>
        <v>-12.791000000000011</v>
      </c>
      <c r="K48" s="915">
        <f t="shared" si="12"/>
        <v>-30.943999999999988</v>
      </c>
      <c r="L48" s="915">
        <f t="shared" si="12"/>
        <v>-18.094000000000019</v>
      </c>
      <c r="M48" s="915">
        <f t="shared" si="12"/>
        <v>40.781999999999996</v>
      </c>
      <c r="N48" s="915">
        <f t="shared" si="12"/>
        <v>0</v>
      </c>
      <c r="O48" s="915">
        <f t="shared" si="12"/>
        <v>0</v>
      </c>
      <c r="P48" s="915">
        <f t="shared" si="12"/>
        <v>7.7000000000026603E-2</v>
      </c>
      <c r="Q48" s="915">
        <f t="shared" si="12"/>
        <v>-1.0000000000331966E-3</v>
      </c>
      <c r="R48" s="915">
        <f t="shared" si="12"/>
        <v>0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916">
        <v>0</v>
      </c>
      <c r="I49" s="916">
        <v>0</v>
      </c>
      <c r="J49" s="916">
        <v>0</v>
      </c>
      <c r="K49" s="916">
        <v>0</v>
      </c>
      <c r="L49" s="916">
        <v>0</v>
      </c>
      <c r="M49" s="916">
        <v>0</v>
      </c>
      <c r="N49" s="916">
        <v>0</v>
      </c>
      <c r="O49" s="916">
        <v>0</v>
      </c>
      <c r="P49" s="916">
        <v>0</v>
      </c>
      <c r="Q49" s="916">
        <v>0</v>
      </c>
      <c r="R49" s="916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916">
        <v>0</v>
      </c>
      <c r="I50" s="916">
        <v>0</v>
      </c>
      <c r="J50" s="916">
        <v>0</v>
      </c>
      <c r="K50" s="916">
        <v>0</v>
      </c>
      <c r="L50" s="916">
        <v>0</v>
      </c>
      <c r="M50" s="916">
        <v>0</v>
      </c>
      <c r="N50" s="916">
        <v>0</v>
      </c>
      <c r="O50" s="916">
        <v>0</v>
      </c>
      <c r="P50" s="916">
        <v>0</v>
      </c>
      <c r="Q50" s="916">
        <v>0</v>
      </c>
      <c r="R50" s="916">
        <v>0</v>
      </c>
    </row>
    <row r="51" spans="1:18" x14ac:dyDescent="0.2">
      <c r="B51" s="2" t="s">
        <v>117</v>
      </c>
      <c r="G51" s="18" t="s">
        <v>118</v>
      </c>
      <c r="H51" s="915">
        <f>H48+H49+H50</f>
        <v>-16.377999999999997</v>
      </c>
      <c r="I51" s="915">
        <f t="shared" ref="I51:R51" si="13">I48+I49+I50</f>
        <v>8.3920000000000101</v>
      </c>
      <c r="J51" s="915">
        <f t="shared" si="13"/>
        <v>-12.791000000000011</v>
      </c>
      <c r="K51" s="915">
        <f t="shared" si="13"/>
        <v>-30.943999999999988</v>
      </c>
      <c r="L51" s="915">
        <f t="shared" si="13"/>
        <v>-18.094000000000019</v>
      </c>
      <c r="M51" s="915">
        <f t="shared" si="13"/>
        <v>40.781999999999996</v>
      </c>
      <c r="N51" s="915">
        <f t="shared" si="13"/>
        <v>0</v>
      </c>
      <c r="O51" s="915">
        <f t="shared" si="13"/>
        <v>0</v>
      </c>
      <c r="P51" s="915">
        <f t="shared" si="13"/>
        <v>7.7000000000026603E-2</v>
      </c>
      <c r="Q51" s="915">
        <f t="shared" si="13"/>
        <v>-1.0000000000331966E-3</v>
      </c>
      <c r="R51" s="915">
        <f t="shared" si="13"/>
        <v>0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919">
        <f>H30-H51</f>
        <v>0</v>
      </c>
      <c r="I52" s="919">
        <f t="shared" ref="I52:R52" si="14">I30-I51</f>
        <v>-0.30700000000000927</v>
      </c>
      <c r="J52" s="919">
        <f t="shared" si="14"/>
        <v>1.0000000000118803E-3</v>
      </c>
      <c r="K52" s="919">
        <f t="shared" si="14"/>
        <v>9.9999999998701128E-4</v>
      </c>
      <c r="L52" s="919">
        <f t="shared" si="14"/>
        <v>0.47900000000002052</v>
      </c>
      <c r="M52" s="919">
        <f t="shared" si="14"/>
        <v>0.13000000000000256</v>
      </c>
      <c r="N52" s="919">
        <f t="shared" si="14"/>
        <v>0</v>
      </c>
      <c r="O52" s="919">
        <f t="shared" si="14"/>
        <v>0</v>
      </c>
      <c r="P52" s="919">
        <f t="shared" si="14"/>
        <v>-7.7000000000026603E-2</v>
      </c>
      <c r="Q52" s="919">
        <f t="shared" si="14"/>
        <v>1.0000000000331966E-3</v>
      </c>
      <c r="R52" s="919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916">
        <v>3</v>
      </c>
      <c r="I54" s="916">
        <v>3</v>
      </c>
      <c r="J54" s="916">
        <v>3</v>
      </c>
      <c r="K54" s="916">
        <v>3</v>
      </c>
      <c r="L54" s="916">
        <v>3</v>
      </c>
      <c r="M54" s="916">
        <v>3</v>
      </c>
      <c r="N54" s="916">
        <v>3</v>
      </c>
      <c r="O54" s="916">
        <v>3</v>
      </c>
      <c r="P54" s="916">
        <v>3</v>
      </c>
      <c r="Q54" s="916">
        <v>3</v>
      </c>
      <c r="R54" s="916">
        <v>3</v>
      </c>
    </row>
    <row r="55" spans="1:18" ht="12" x14ac:dyDescent="0.2">
      <c r="E55" s="20" t="s">
        <v>14</v>
      </c>
      <c r="G55" s="46" t="s">
        <v>122</v>
      </c>
      <c r="H55" s="916"/>
      <c r="I55" s="916"/>
      <c r="J55" s="916"/>
      <c r="K55" s="916"/>
      <c r="L55" s="922"/>
      <c r="M55" s="922"/>
      <c r="N55" s="922"/>
      <c r="O55" s="922"/>
      <c r="P55" s="922"/>
      <c r="Q55" s="922"/>
      <c r="R55" s="922"/>
    </row>
    <row r="57" spans="1:18" x14ac:dyDescent="0.2">
      <c r="D57" s="49" t="s">
        <v>123</v>
      </c>
      <c r="E57" s="50" t="s">
        <v>3</v>
      </c>
      <c r="F57" s="17"/>
      <c r="G57" s="912" t="s">
        <v>124</v>
      </c>
      <c r="H57" s="920">
        <f>H32</f>
        <v>2011</v>
      </c>
      <c r="I57" s="920">
        <f t="shared" ref="I57:R57" si="15">I32</f>
        <v>2012</v>
      </c>
      <c r="J57" s="920">
        <f t="shared" si="15"/>
        <v>2013</v>
      </c>
      <c r="K57" s="920">
        <f t="shared" si="15"/>
        <v>2014</v>
      </c>
      <c r="L57" s="920">
        <f t="shared" si="15"/>
        <v>2015</v>
      </c>
      <c r="M57" s="920">
        <f t="shared" si="15"/>
        <v>2016</v>
      </c>
      <c r="N57" s="920">
        <f t="shared" si="15"/>
        <v>2017</v>
      </c>
      <c r="O57" s="920">
        <f t="shared" si="15"/>
        <v>2018</v>
      </c>
      <c r="P57" s="920">
        <f t="shared" si="15"/>
        <v>2019</v>
      </c>
      <c r="Q57" s="920">
        <f t="shared" si="15"/>
        <v>2020</v>
      </c>
      <c r="R57" s="920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914" t="s">
        <v>128</v>
      </c>
      <c r="H58" s="916">
        <v>-17.573</v>
      </c>
      <c r="I58" s="916">
        <v>-39.637999999999998</v>
      </c>
      <c r="J58" s="916">
        <v>-22.550999999999998</v>
      </c>
      <c r="K58" s="916">
        <v>0</v>
      </c>
      <c r="L58" s="916">
        <v>0</v>
      </c>
      <c r="M58" s="916">
        <v>0</v>
      </c>
      <c r="N58" s="916">
        <v>0</v>
      </c>
      <c r="O58" s="916">
        <v>0</v>
      </c>
      <c r="P58" s="916">
        <v>0</v>
      </c>
      <c r="Q58" s="916">
        <v>0</v>
      </c>
      <c r="R58" s="916">
        <v>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916">
        <v>0</v>
      </c>
      <c r="I59" s="916">
        <v>0</v>
      </c>
      <c r="J59" s="916">
        <v>0.377</v>
      </c>
      <c r="K59" s="916">
        <v>0</v>
      </c>
      <c r="L59" s="916">
        <v>0</v>
      </c>
      <c r="M59" s="916">
        <v>0.377</v>
      </c>
      <c r="N59" s="916">
        <v>0.377</v>
      </c>
      <c r="O59" s="916">
        <v>0.377</v>
      </c>
      <c r="P59" s="916">
        <v>0.377</v>
      </c>
      <c r="Q59" s="916">
        <v>0.377</v>
      </c>
      <c r="R59" s="916">
        <v>0.377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916">
        <v>25.596</v>
      </c>
      <c r="I60" s="916">
        <v>35.823999999999998</v>
      </c>
      <c r="J60" s="916">
        <v>6.3</v>
      </c>
      <c r="K60" s="916">
        <v>0</v>
      </c>
      <c r="L60" s="916">
        <v>0</v>
      </c>
      <c r="M60" s="916">
        <v>0</v>
      </c>
      <c r="N60" s="916">
        <v>0</v>
      </c>
      <c r="O60" s="916">
        <v>0</v>
      </c>
      <c r="P60" s="916">
        <v>0</v>
      </c>
      <c r="Q60" s="916">
        <v>0</v>
      </c>
      <c r="R60" s="916">
        <v>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916">
        <v>0</v>
      </c>
      <c r="I61" s="916">
        <v>0</v>
      </c>
      <c r="J61" s="916">
        <v>0</v>
      </c>
      <c r="K61" s="916">
        <v>0</v>
      </c>
      <c r="L61" s="916">
        <v>0</v>
      </c>
      <c r="M61" s="916">
        <v>0</v>
      </c>
      <c r="N61" s="916">
        <v>0</v>
      </c>
      <c r="O61" s="916">
        <v>0</v>
      </c>
      <c r="P61" s="916">
        <v>0</v>
      </c>
      <c r="Q61" s="916">
        <v>0</v>
      </c>
      <c r="R61" s="916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916">
        <v>0</v>
      </c>
      <c r="I62" s="916">
        <v>0</v>
      </c>
      <c r="J62" s="916">
        <v>0</v>
      </c>
      <c r="K62" s="916">
        <v>0</v>
      </c>
      <c r="L62" s="916">
        <v>0</v>
      </c>
      <c r="M62" s="916">
        <v>0</v>
      </c>
      <c r="N62" s="916">
        <v>0</v>
      </c>
      <c r="O62" s="916">
        <v>0</v>
      </c>
      <c r="P62" s="916">
        <v>0</v>
      </c>
      <c r="Q62" s="916">
        <v>0</v>
      </c>
      <c r="R62" s="916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916">
        <v>0</v>
      </c>
      <c r="I63" s="916">
        <v>0</v>
      </c>
      <c r="J63" s="916">
        <v>0</v>
      </c>
      <c r="K63" s="916">
        <v>0</v>
      </c>
      <c r="L63" s="916">
        <v>0</v>
      </c>
      <c r="M63" s="916">
        <v>0</v>
      </c>
      <c r="N63" s="916">
        <v>0</v>
      </c>
      <c r="O63" s="916">
        <v>0</v>
      </c>
      <c r="P63" s="916">
        <v>0</v>
      </c>
      <c r="Q63" s="916">
        <v>0</v>
      </c>
      <c r="R63" s="916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916">
        <v>0</v>
      </c>
      <c r="I64" s="916">
        <v>0</v>
      </c>
      <c r="J64" s="916">
        <v>0</v>
      </c>
      <c r="K64" s="916">
        <v>0</v>
      </c>
      <c r="L64" s="916">
        <v>0</v>
      </c>
      <c r="M64" s="916">
        <v>0</v>
      </c>
      <c r="N64" s="916">
        <v>0</v>
      </c>
      <c r="O64" s="916">
        <v>0</v>
      </c>
      <c r="P64" s="916">
        <v>0</v>
      </c>
      <c r="Q64" s="916">
        <v>0</v>
      </c>
      <c r="R64" s="916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916">
        <v>0</v>
      </c>
      <c r="I65" s="916">
        <v>0</v>
      </c>
      <c r="J65" s="916">
        <v>0</v>
      </c>
      <c r="K65" s="916">
        <v>0</v>
      </c>
      <c r="L65" s="916">
        <v>0</v>
      </c>
      <c r="M65" s="916">
        <v>0</v>
      </c>
      <c r="N65" s="916">
        <v>0</v>
      </c>
      <c r="O65" s="916">
        <v>0</v>
      </c>
      <c r="P65" s="916">
        <v>0</v>
      </c>
      <c r="Q65" s="916">
        <v>0</v>
      </c>
      <c r="R65" s="916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916">
        <v>0</v>
      </c>
      <c r="I66" s="916">
        <v>0</v>
      </c>
      <c r="J66" s="916">
        <v>0</v>
      </c>
      <c r="K66" s="916">
        <v>0</v>
      </c>
      <c r="L66" s="916">
        <v>0</v>
      </c>
      <c r="M66" s="916">
        <v>0</v>
      </c>
      <c r="N66" s="916">
        <v>0</v>
      </c>
      <c r="O66" s="916">
        <v>0</v>
      </c>
      <c r="P66" s="916">
        <v>0</v>
      </c>
      <c r="Q66" s="916">
        <v>0</v>
      </c>
      <c r="R66" s="916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916">
        <v>0</v>
      </c>
      <c r="I67" s="916">
        <v>0</v>
      </c>
      <c r="J67" s="916">
        <v>0</v>
      </c>
      <c r="K67" s="916">
        <v>0</v>
      </c>
      <c r="L67" s="916">
        <v>0</v>
      </c>
      <c r="M67" s="916">
        <v>0</v>
      </c>
      <c r="N67" s="916">
        <v>0</v>
      </c>
      <c r="O67" s="916">
        <v>0</v>
      </c>
      <c r="P67" s="916">
        <v>0</v>
      </c>
      <c r="Q67" s="916">
        <v>0</v>
      </c>
      <c r="R67" s="916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916">
        <v>0</v>
      </c>
      <c r="I68" s="916">
        <v>0</v>
      </c>
      <c r="J68" s="916">
        <v>0</v>
      </c>
      <c r="K68" s="916">
        <v>0</v>
      </c>
      <c r="L68" s="916">
        <v>0</v>
      </c>
      <c r="M68" s="916">
        <v>0</v>
      </c>
      <c r="N68" s="916">
        <v>0</v>
      </c>
      <c r="O68" s="916">
        <v>0</v>
      </c>
      <c r="P68" s="916">
        <v>0</v>
      </c>
      <c r="Q68" s="916">
        <v>0</v>
      </c>
      <c r="R68" s="916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916">
        <v>0</v>
      </c>
      <c r="I69" s="916">
        <v>0</v>
      </c>
      <c r="J69" s="916">
        <v>0</v>
      </c>
      <c r="K69" s="916">
        <v>0</v>
      </c>
      <c r="L69" s="916">
        <v>0</v>
      </c>
      <c r="M69" s="916">
        <v>0</v>
      </c>
      <c r="N69" s="916">
        <v>0</v>
      </c>
      <c r="O69" s="916">
        <v>0</v>
      </c>
      <c r="P69" s="916">
        <v>0</v>
      </c>
      <c r="Q69" s="916">
        <v>0</v>
      </c>
      <c r="R69" s="916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916">
        <v>2E-3</v>
      </c>
      <c r="I70" s="916">
        <v>4.0000000000000001E-3</v>
      </c>
      <c r="J70" s="916">
        <v>0</v>
      </c>
      <c r="K70" s="916">
        <v>0</v>
      </c>
      <c r="L70" s="916">
        <v>8.0000000000000002E-3</v>
      </c>
      <c r="M70" s="916">
        <v>0</v>
      </c>
      <c r="N70" s="916">
        <v>0</v>
      </c>
      <c r="O70" s="916">
        <v>0</v>
      </c>
      <c r="P70" s="916">
        <v>0</v>
      </c>
      <c r="Q70" s="916">
        <v>0</v>
      </c>
      <c r="R70" s="916">
        <v>0</v>
      </c>
    </row>
    <row r="71" spans="2:18" x14ac:dyDescent="0.2">
      <c r="B71" s="51" t="s">
        <v>162</v>
      </c>
      <c r="D71" s="16"/>
      <c r="E71" s="22"/>
      <c r="F71" s="22"/>
      <c r="G71" s="923" t="s">
        <v>163</v>
      </c>
      <c r="H71" s="915">
        <f t="shared" ref="H71:R71" si="16">SUM(H58:H70)</f>
        <v>8.0250000000000004</v>
      </c>
      <c r="I71" s="915">
        <f t="shared" si="16"/>
        <v>-3.81</v>
      </c>
      <c r="J71" s="915">
        <f t="shared" si="16"/>
        <v>-15.873999999999999</v>
      </c>
      <c r="K71" s="915">
        <f t="shared" si="16"/>
        <v>0</v>
      </c>
      <c r="L71" s="915">
        <f t="shared" si="16"/>
        <v>8.0000000000000002E-3</v>
      </c>
      <c r="M71" s="915">
        <f t="shared" si="16"/>
        <v>0.377</v>
      </c>
      <c r="N71" s="915">
        <f t="shared" si="16"/>
        <v>0.377</v>
      </c>
      <c r="O71" s="915">
        <f t="shared" si="16"/>
        <v>0.377</v>
      </c>
      <c r="P71" s="915">
        <f t="shared" si="16"/>
        <v>0.377</v>
      </c>
      <c r="Q71" s="915">
        <f t="shared" si="16"/>
        <v>0.377</v>
      </c>
      <c r="R71" s="915">
        <f t="shared" si="16"/>
        <v>0.377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912" t="s">
        <v>164</v>
      </c>
      <c r="H73" s="920">
        <f t="shared" ref="H73:R73" si="17">H57</f>
        <v>2011</v>
      </c>
      <c r="I73" s="920">
        <f t="shared" si="17"/>
        <v>2012</v>
      </c>
      <c r="J73" s="920">
        <f t="shared" si="17"/>
        <v>2013</v>
      </c>
      <c r="K73" s="920">
        <f t="shared" si="17"/>
        <v>2014</v>
      </c>
      <c r="L73" s="920">
        <f t="shared" si="17"/>
        <v>2015</v>
      </c>
      <c r="M73" s="920">
        <f t="shared" si="17"/>
        <v>2016</v>
      </c>
      <c r="N73" s="920">
        <f t="shared" si="17"/>
        <v>2017</v>
      </c>
      <c r="O73" s="920">
        <f t="shared" si="17"/>
        <v>2018</v>
      </c>
      <c r="P73" s="920">
        <f t="shared" si="17"/>
        <v>2019</v>
      </c>
      <c r="Q73" s="920">
        <f t="shared" si="17"/>
        <v>2020</v>
      </c>
      <c r="R73" s="920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914" t="s">
        <v>167</v>
      </c>
      <c r="H74" s="916">
        <v>0</v>
      </c>
      <c r="I74" s="916">
        <v>0</v>
      </c>
      <c r="J74" s="916">
        <v>0</v>
      </c>
      <c r="K74" s="916">
        <v>0</v>
      </c>
      <c r="L74" s="916">
        <v>0</v>
      </c>
      <c r="M74" s="916">
        <v>0</v>
      </c>
      <c r="N74" s="916">
        <v>0</v>
      </c>
      <c r="O74" s="916">
        <v>0</v>
      </c>
      <c r="P74" s="916">
        <v>0</v>
      </c>
      <c r="Q74" s="916">
        <v>0</v>
      </c>
      <c r="R74" s="916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916">
        <v>0</v>
      </c>
      <c r="I75" s="916">
        <v>0</v>
      </c>
      <c r="J75" s="916">
        <v>0</v>
      </c>
      <c r="K75" s="916">
        <v>0</v>
      </c>
      <c r="L75" s="916">
        <v>0</v>
      </c>
      <c r="M75" s="916">
        <v>0</v>
      </c>
      <c r="N75" s="916">
        <v>0</v>
      </c>
      <c r="O75" s="916">
        <v>0</v>
      </c>
      <c r="P75" s="916">
        <v>0</v>
      </c>
      <c r="Q75" s="916">
        <v>0</v>
      </c>
      <c r="R75" s="916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916">
        <v>0</v>
      </c>
      <c r="I76" s="916">
        <v>0</v>
      </c>
      <c r="J76" s="916">
        <v>0</v>
      </c>
      <c r="K76" s="916">
        <v>0</v>
      </c>
      <c r="L76" s="916">
        <v>0</v>
      </c>
      <c r="M76" s="916">
        <v>0</v>
      </c>
      <c r="N76" s="916">
        <v>0</v>
      </c>
      <c r="O76" s="916">
        <v>0</v>
      </c>
      <c r="P76" s="916">
        <v>0</v>
      </c>
      <c r="Q76" s="916">
        <v>0</v>
      </c>
      <c r="R76" s="916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916">
        <v>0</v>
      </c>
      <c r="I77" s="916">
        <v>0</v>
      </c>
      <c r="J77" s="916">
        <v>0</v>
      </c>
      <c r="K77" s="916">
        <v>0</v>
      </c>
      <c r="L77" s="916">
        <v>0</v>
      </c>
      <c r="M77" s="916">
        <v>0</v>
      </c>
      <c r="N77" s="916">
        <v>0</v>
      </c>
      <c r="O77" s="916">
        <v>0</v>
      </c>
      <c r="P77" s="916">
        <v>0</v>
      </c>
      <c r="Q77" s="916">
        <v>0</v>
      </c>
      <c r="R77" s="916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916">
        <v>0</v>
      </c>
      <c r="I78" s="916">
        <v>0</v>
      </c>
      <c r="J78" s="916">
        <v>0</v>
      </c>
      <c r="K78" s="916">
        <v>0</v>
      </c>
      <c r="L78" s="916">
        <v>0</v>
      </c>
      <c r="M78" s="916">
        <v>0</v>
      </c>
      <c r="N78" s="916">
        <v>0</v>
      </c>
      <c r="O78" s="916">
        <v>0</v>
      </c>
      <c r="P78" s="916">
        <v>0</v>
      </c>
      <c r="Q78" s="916">
        <v>0</v>
      </c>
      <c r="R78" s="916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916">
        <v>0</v>
      </c>
      <c r="I79" s="916">
        <v>-0.311</v>
      </c>
      <c r="J79" s="916">
        <v>0</v>
      </c>
      <c r="K79" s="916">
        <v>0</v>
      </c>
      <c r="L79" s="916">
        <v>0</v>
      </c>
      <c r="M79" s="916">
        <v>0</v>
      </c>
      <c r="N79" s="916">
        <v>0</v>
      </c>
      <c r="O79" s="916">
        <v>0</v>
      </c>
      <c r="P79" s="916">
        <v>0</v>
      </c>
      <c r="Q79" s="916">
        <v>0</v>
      </c>
      <c r="R79" s="916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916">
        <v>0</v>
      </c>
      <c r="I80" s="916">
        <v>0</v>
      </c>
      <c r="J80" s="916">
        <v>0</v>
      </c>
      <c r="K80" s="916">
        <v>0</v>
      </c>
      <c r="L80" s="916">
        <v>0</v>
      </c>
      <c r="M80" s="916">
        <v>0</v>
      </c>
      <c r="N80" s="916">
        <v>0</v>
      </c>
      <c r="O80" s="916">
        <v>0</v>
      </c>
      <c r="P80" s="916">
        <v>0</v>
      </c>
      <c r="Q80" s="916">
        <v>0</v>
      </c>
      <c r="R80" s="916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916">
        <v>0</v>
      </c>
      <c r="I81" s="916">
        <v>0</v>
      </c>
      <c r="J81" s="916">
        <v>0</v>
      </c>
      <c r="K81" s="916">
        <v>0</v>
      </c>
      <c r="L81" s="916">
        <v>0</v>
      </c>
      <c r="M81" s="916">
        <v>0</v>
      </c>
      <c r="N81" s="916">
        <v>0</v>
      </c>
      <c r="O81" s="916">
        <v>0</v>
      </c>
      <c r="P81" s="916">
        <v>0</v>
      </c>
      <c r="Q81" s="916">
        <v>0</v>
      </c>
      <c r="R81" s="916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916">
        <v>0</v>
      </c>
      <c r="I82" s="916">
        <v>0</v>
      </c>
      <c r="J82" s="916">
        <v>0</v>
      </c>
      <c r="K82" s="916">
        <v>0</v>
      </c>
      <c r="L82" s="916">
        <v>0</v>
      </c>
      <c r="M82" s="916">
        <v>0</v>
      </c>
      <c r="N82" s="916">
        <v>0</v>
      </c>
      <c r="O82" s="916">
        <v>0</v>
      </c>
      <c r="P82" s="916">
        <v>0</v>
      </c>
      <c r="Q82" s="916">
        <v>0</v>
      </c>
      <c r="R82" s="916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916">
        <v>0</v>
      </c>
      <c r="I83" s="916">
        <v>0</v>
      </c>
      <c r="J83" s="916">
        <v>0</v>
      </c>
      <c r="K83" s="916">
        <v>0</v>
      </c>
      <c r="L83" s="916">
        <v>0</v>
      </c>
      <c r="M83" s="916">
        <v>0</v>
      </c>
      <c r="N83" s="916">
        <v>0</v>
      </c>
      <c r="O83" s="916">
        <v>0</v>
      </c>
      <c r="P83" s="916">
        <v>0</v>
      </c>
      <c r="Q83" s="916">
        <v>0</v>
      </c>
      <c r="R83" s="916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916">
        <v>0</v>
      </c>
      <c r="I84" s="916">
        <v>0</v>
      </c>
      <c r="J84" s="916">
        <v>0</v>
      </c>
      <c r="K84" s="916">
        <v>0</v>
      </c>
      <c r="L84" s="916">
        <v>0</v>
      </c>
      <c r="M84" s="916">
        <v>0</v>
      </c>
      <c r="N84" s="916">
        <v>0</v>
      </c>
      <c r="O84" s="916">
        <v>0</v>
      </c>
      <c r="P84" s="916">
        <v>0</v>
      </c>
      <c r="Q84" s="916">
        <v>0</v>
      </c>
      <c r="R84" s="916">
        <v>0</v>
      </c>
    </row>
    <row r="85" spans="1:18" x14ac:dyDescent="0.2">
      <c r="B85" s="2" t="s">
        <v>192</v>
      </c>
      <c r="G85" s="186" t="s">
        <v>163</v>
      </c>
      <c r="H85" s="915">
        <f t="shared" ref="H85:R85" si="18">SUM(H74:H84)</f>
        <v>0</v>
      </c>
      <c r="I85" s="915">
        <f t="shared" si="18"/>
        <v>-0.311</v>
      </c>
      <c r="J85" s="915">
        <f t="shared" si="18"/>
        <v>0</v>
      </c>
      <c r="K85" s="915">
        <f t="shared" si="18"/>
        <v>0</v>
      </c>
      <c r="L85" s="915">
        <f t="shared" si="18"/>
        <v>0</v>
      </c>
      <c r="M85" s="915">
        <f t="shared" si="18"/>
        <v>0</v>
      </c>
      <c r="N85" s="915">
        <f t="shared" si="18"/>
        <v>0</v>
      </c>
      <c r="O85" s="915">
        <f t="shared" si="18"/>
        <v>0</v>
      </c>
      <c r="P85" s="915">
        <f t="shared" si="18"/>
        <v>0</v>
      </c>
      <c r="Q85" s="915">
        <f t="shared" si="18"/>
        <v>0</v>
      </c>
      <c r="R85" s="915">
        <f t="shared" si="18"/>
        <v>0</v>
      </c>
    </row>
    <row r="87" spans="1:18" x14ac:dyDescent="0.2">
      <c r="A87" s="23" t="s">
        <v>0</v>
      </c>
      <c r="D87" s="1185" t="s">
        <v>193</v>
      </c>
      <c r="E87" s="1186"/>
      <c r="G87" s="912" t="s">
        <v>194</v>
      </c>
      <c r="H87" s="920">
        <f t="shared" ref="H87:R87" si="19">H32</f>
        <v>2011</v>
      </c>
      <c r="I87" s="920">
        <f t="shared" si="19"/>
        <v>2012</v>
      </c>
      <c r="J87" s="920">
        <f t="shared" si="19"/>
        <v>2013</v>
      </c>
      <c r="K87" s="920">
        <f t="shared" si="19"/>
        <v>2014</v>
      </c>
      <c r="L87" s="920">
        <f t="shared" si="19"/>
        <v>2015</v>
      </c>
      <c r="M87" s="920">
        <f t="shared" si="19"/>
        <v>2016</v>
      </c>
      <c r="N87" s="920">
        <f t="shared" si="19"/>
        <v>2017</v>
      </c>
      <c r="O87" s="920">
        <f t="shared" si="19"/>
        <v>2018</v>
      </c>
      <c r="P87" s="920">
        <f t="shared" si="19"/>
        <v>2019</v>
      </c>
      <c r="Q87" s="920">
        <f t="shared" si="19"/>
        <v>2020</v>
      </c>
      <c r="R87" s="920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924"/>
      <c r="G88" s="914" t="s">
        <v>198</v>
      </c>
      <c r="H88" s="915">
        <f>H46+H71</f>
        <v>-8.3549999999999951</v>
      </c>
      <c r="I88" s="915">
        <f t="shared" ref="I88:R88" si="20">I46+I71</f>
        <v>4.5820000000000096</v>
      </c>
      <c r="J88" s="915">
        <f t="shared" si="20"/>
        <v>-28.66500000000001</v>
      </c>
      <c r="K88" s="915">
        <f t="shared" si="20"/>
        <v>-30.943999999999988</v>
      </c>
      <c r="L88" s="915">
        <f t="shared" si="20"/>
        <v>-18.094000000000019</v>
      </c>
      <c r="M88" s="915">
        <f t="shared" si="20"/>
        <v>41.158999999999999</v>
      </c>
      <c r="N88" s="915">
        <f t="shared" si="20"/>
        <v>0.377</v>
      </c>
      <c r="O88" s="915">
        <f t="shared" si="20"/>
        <v>0.377</v>
      </c>
      <c r="P88" s="915">
        <f t="shared" si="20"/>
        <v>0.4540000000000266</v>
      </c>
      <c r="Q88" s="915">
        <f t="shared" si="20"/>
        <v>0.37599999999996681</v>
      </c>
      <c r="R88" s="915">
        <f t="shared" si="20"/>
        <v>0.377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924"/>
      <c r="G89" s="914" t="s">
        <v>202</v>
      </c>
      <c r="H89" s="925">
        <f t="shared" ref="H89:R89" si="21">H33+H38+H41-H45</f>
        <v>14.182000000000006</v>
      </c>
      <c r="I89" s="915">
        <f t="shared" si="21"/>
        <v>40.413000000000011</v>
      </c>
      <c r="J89" s="915">
        <f t="shared" si="21"/>
        <v>21.942999999999991</v>
      </c>
      <c r="K89" s="915">
        <f t="shared" si="21"/>
        <v>4.2350000000000136</v>
      </c>
      <c r="L89" s="915">
        <f t="shared" si="21"/>
        <v>6.2539999999999836</v>
      </c>
      <c r="M89" s="915">
        <f t="shared" si="21"/>
        <v>56.239999999999995</v>
      </c>
      <c r="N89" s="915">
        <f t="shared" si="21"/>
        <v>15.922000000000001</v>
      </c>
      <c r="O89" s="915">
        <f t="shared" si="21"/>
        <v>16.398999999999972</v>
      </c>
      <c r="P89" s="915">
        <f t="shared" si="21"/>
        <v>16.968000000000025</v>
      </c>
      <c r="Q89" s="915">
        <f t="shared" si="21"/>
        <v>17.396999999999966</v>
      </c>
      <c r="R89" s="915">
        <f t="shared" si="21"/>
        <v>17.920000000000002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926">
        <v>0</v>
      </c>
      <c r="G90" s="186" t="s">
        <v>206</v>
      </c>
      <c r="H90" s="927">
        <f t="shared" ref="H90:R90" si="22">H89/H33</f>
        <v>0.1710756462683507</v>
      </c>
      <c r="I90" s="928">
        <f t="shared" si="22"/>
        <v>0.34047195801073332</v>
      </c>
      <c r="J90" s="928">
        <f t="shared" si="22"/>
        <v>0.23044286449417664</v>
      </c>
      <c r="K90" s="928">
        <f t="shared" si="22"/>
        <v>5.2661029594628372E-2</v>
      </c>
      <c r="L90" s="928">
        <f t="shared" si="22"/>
        <v>6.8906248278445409E-2</v>
      </c>
      <c r="M90" s="928">
        <f t="shared" si="22"/>
        <v>0.360311877350452</v>
      </c>
      <c r="N90" s="928">
        <f t="shared" si="22"/>
        <v>9.2378029322858948E-2</v>
      </c>
      <c r="O90" s="928">
        <f t="shared" si="22"/>
        <v>9.6111918604651E-2</v>
      </c>
      <c r="P90" s="928">
        <f t="shared" si="22"/>
        <v>0.12512536133561461</v>
      </c>
      <c r="Q90" s="928">
        <f t="shared" si="22"/>
        <v>0.13468401861127646</v>
      </c>
      <c r="R90" s="928">
        <f t="shared" si="22"/>
        <v>0.13735905749610994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924"/>
      <c r="G91" s="18" t="s">
        <v>210</v>
      </c>
      <c r="H91" s="929">
        <f t="shared" ref="H91:R91" si="23">-H33/(H38+H41)</f>
        <v>0.83501042516544288</v>
      </c>
      <c r="I91" s="929">
        <f t="shared" si="23"/>
        <v>1.0760799601106026</v>
      </c>
      <c r="J91" s="929">
        <f t="shared" si="23"/>
        <v>0.8815779728178349</v>
      </c>
      <c r="K91" s="929">
        <f t="shared" si="23"/>
        <v>0.7221364175137388</v>
      </c>
      <c r="L91" s="929">
        <f t="shared" si="23"/>
        <v>0.83371760837015318</v>
      </c>
      <c r="M91" s="929">
        <f t="shared" si="23"/>
        <v>1.3536880447508781</v>
      </c>
      <c r="N91" s="929">
        <f t="shared" si="23"/>
        <v>1</v>
      </c>
      <c r="O91" s="929">
        <f t="shared" si="23"/>
        <v>0.99999999999999978</v>
      </c>
      <c r="P91" s="929">
        <f t="shared" si="23"/>
        <v>1.000568135703271</v>
      </c>
      <c r="Q91" s="929">
        <f t="shared" si="23"/>
        <v>0.9999922582643026</v>
      </c>
      <c r="R91" s="929">
        <f t="shared" si="23"/>
        <v>1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924"/>
      <c r="G92" s="914" t="s">
        <v>214</v>
      </c>
      <c r="H92" s="925">
        <f>H46</f>
        <v>-16.379999999999995</v>
      </c>
      <c r="I92" s="925">
        <f t="shared" ref="I92:R92" si="24">I46</f>
        <v>8.3920000000000101</v>
      </c>
      <c r="J92" s="925">
        <f t="shared" si="24"/>
        <v>-12.791000000000011</v>
      </c>
      <c r="K92" s="925">
        <f t="shared" si="24"/>
        <v>-30.943999999999988</v>
      </c>
      <c r="L92" s="925">
        <f t="shared" si="24"/>
        <v>-18.102000000000018</v>
      </c>
      <c r="M92" s="925">
        <f t="shared" si="24"/>
        <v>40.781999999999996</v>
      </c>
      <c r="N92" s="925">
        <f t="shared" si="24"/>
        <v>0</v>
      </c>
      <c r="O92" s="925">
        <f t="shared" si="24"/>
        <v>0</v>
      </c>
      <c r="P92" s="925">
        <f t="shared" si="24"/>
        <v>7.7000000000026603E-2</v>
      </c>
      <c r="Q92" s="925">
        <f t="shared" si="24"/>
        <v>-1.0000000000331966E-3</v>
      </c>
      <c r="R92" s="925">
        <f t="shared" si="24"/>
        <v>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926">
        <v>-0.3</v>
      </c>
      <c r="E93" s="926">
        <v>0</v>
      </c>
      <c r="G93" s="18" t="s">
        <v>218</v>
      </c>
      <c r="H93" s="930">
        <f>H46/H33</f>
        <v>-0.19758983823689061</v>
      </c>
      <c r="I93" s="931">
        <f t="shared" ref="I93:R93" si="25">I46/I33</f>
        <v>7.07010286696379E-2</v>
      </c>
      <c r="J93" s="931">
        <f t="shared" si="25"/>
        <v>-0.1343296121653838</v>
      </c>
      <c r="K93" s="931">
        <f t="shared" si="25"/>
        <v>-0.3847799054961451</v>
      </c>
      <c r="L93" s="931">
        <f t="shared" si="25"/>
        <v>-0.19944689899846871</v>
      </c>
      <c r="M93" s="931">
        <f t="shared" si="25"/>
        <v>0.26127736454669509</v>
      </c>
      <c r="N93" s="931">
        <f t="shared" si="25"/>
        <v>0</v>
      </c>
      <c r="O93" s="931">
        <f t="shared" si="25"/>
        <v>0</v>
      </c>
      <c r="P93" s="931">
        <f t="shared" si="25"/>
        <v>5.6781310837138372E-4</v>
      </c>
      <c r="Q93" s="931">
        <f t="shared" si="25"/>
        <v>-7.7417956323359066E-6</v>
      </c>
      <c r="R93" s="931">
        <f t="shared" si="25"/>
        <v>0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924"/>
      <c r="G94" s="186" t="s">
        <v>222</v>
      </c>
      <c r="H94" s="925">
        <f>H29+H30</f>
        <v>284.10000000000002</v>
      </c>
      <c r="I94" s="925">
        <f t="shared" ref="I94:R94" si="26">I29+I30</f>
        <v>292.185</v>
      </c>
      <c r="J94" s="925">
        <f t="shared" si="26"/>
        <v>279.39499999999998</v>
      </c>
      <c r="K94" s="925">
        <f t="shared" si="26"/>
        <v>248.45199999999997</v>
      </c>
      <c r="L94" s="925">
        <f t="shared" si="26"/>
        <v>230.83699999999996</v>
      </c>
      <c r="M94" s="925">
        <f t="shared" si="26"/>
        <v>271.74799999999999</v>
      </c>
      <c r="N94" s="925">
        <f t="shared" si="26"/>
        <v>271.74799999999999</v>
      </c>
      <c r="O94" s="925">
        <f t="shared" si="26"/>
        <v>271.74799999999999</v>
      </c>
      <c r="P94" s="925">
        <f t="shared" si="26"/>
        <v>271.74799999999999</v>
      </c>
      <c r="Q94" s="925">
        <f t="shared" si="26"/>
        <v>271.74799999999999</v>
      </c>
      <c r="R94" s="925">
        <f t="shared" si="26"/>
        <v>271.74799999999999</v>
      </c>
    </row>
    <row r="95" spans="1:18" x14ac:dyDescent="0.2">
      <c r="G95" s="68" t="s">
        <v>223</v>
      </c>
      <c r="H95" s="920">
        <f t="shared" ref="H95:R95" si="27">H87</f>
        <v>2011</v>
      </c>
      <c r="I95" s="920">
        <f t="shared" si="27"/>
        <v>2012</v>
      </c>
      <c r="J95" s="920">
        <f t="shared" si="27"/>
        <v>2013</v>
      </c>
      <c r="K95" s="920">
        <f t="shared" si="27"/>
        <v>2014</v>
      </c>
      <c r="L95" s="920">
        <f t="shared" si="27"/>
        <v>2015</v>
      </c>
      <c r="M95" s="920">
        <f t="shared" si="27"/>
        <v>2016</v>
      </c>
      <c r="N95" s="920">
        <f t="shared" si="27"/>
        <v>2017</v>
      </c>
      <c r="O95" s="920">
        <f t="shared" si="27"/>
        <v>2018</v>
      </c>
      <c r="P95" s="920">
        <f t="shared" si="27"/>
        <v>2019</v>
      </c>
      <c r="Q95" s="920">
        <f t="shared" si="27"/>
        <v>2020</v>
      </c>
      <c r="R95" s="920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924"/>
      <c r="F96" s="69"/>
      <c r="G96" s="914" t="s">
        <v>227</v>
      </c>
      <c r="H96" s="925">
        <f t="shared" ref="H96:R96" si="28">H6+H12</f>
        <v>2.1110000000000002</v>
      </c>
      <c r="I96" s="915">
        <f t="shared" si="28"/>
        <v>0.92500000000000004</v>
      </c>
      <c r="J96" s="915">
        <f t="shared" si="28"/>
        <v>1.736</v>
      </c>
      <c r="K96" s="915">
        <f t="shared" si="28"/>
        <v>7.4829999999999997</v>
      </c>
      <c r="L96" s="915">
        <f t="shared" si="28"/>
        <v>12.79</v>
      </c>
      <c r="M96" s="915">
        <f t="shared" si="28"/>
        <v>68.516000000000005</v>
      </c>
      <c r="N96" s="915">
        <f t="shared" si="28"/>
        <v>14</v>
      </c>
      <c r="O96" s="915">
        <f t="shared" si="28"/>
        <v>24</v>
      </c>
      <c r="P96" s="915">
        <f t="shared" si="28"/>
        <v>35</v>
      </c>
      <c r="Q96" s="915">
        <f t="shared" si="28"/>
        <v>44</v>
      </c>
      <c r="R96" s="915">
        <f t="shared" si="28"/>
        <v>47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924"/>
      <c r="F97" s="69"/>
      <c r="G97" s="18" t="s">
        <v>230</v>
      </c>
      <c r="H97" s="925">
        <f>H19</f>
        <v>10.050000000000001</v>
      </c>
      <c r="I97" s="925">
        <f t="shared" ref="I97:R97" si="29">I19</f>
        <v>14.765000000000001</v>
      </c>
      <c r="J97" s="925">
        <f t="shared" si="29"/>
        <v>2.617</v>
      </c>
      <c r="K97" s="925">
        <f t="shared" si="29"/>
        <v>4.6379999999999999</v>
      </c>
      <c r="L97" s="925">
        <f t="shared" si="29"/>
        <v>3.46</v>
      </c>
      <c r="M97" s="925">
        <f t="shared" si="29"/>
        <v>4.9130000000000003</v>
      </c>
      <c r="N97" s="925">
        <f t="shared" si="29"/>
        <v>5</v>
      </c>
      <c r="O97" s="925">
        <f t="shared" si="29"/>
        <v>5</v>
      </c>
      <c r="P97" s="925">
        <f t="shared" si="29"/>
        <v>5</v>
      </c>
      <c r="Q97" s="925">
        <f t="shared" si="29"/>
        <v>5</v>
      </c>
      <c r="R97" s="925">
        <f t="shared" si="29"/>
        <v>5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924"/>
      <c r="F98" s="69"/>
      <c r="G98" s="18" t="s">
        <v>234</v>
      </c>
      <c r="H98" s="925">
        <f t="shared" ref="H98:R98" si="30">H97-H96</f>
        <v>7.9390000000000001</v>
      </c>
      <c r="I98" s="915">
        <f t="shared" si="30"/>
        <v>13.84</v>
      </c>
      <c r="J98" s="915">
        <f t="shared" si="30"/>
        <v>0.88100000000000001</v>
      </c>
      <c r="K98" s="915">
        <f t="shared" si="30"/>
        <v>-2.8449999999999998</v>
      </c>
      <c r="L98" s="915">
        <f t="shared" si="30"/>
        <v>-9.3299999999999983</v>
      </c>
      <c r="M98" s="915">
        <f t="shared" si="30"/>
        <v>-63.603000000000009</v>
      </c>
      <c r="N98" s="915">
        <f t="shared" si="30"/>
        <v>-9</v>
      </c>
      <c r="O98" s="915">
        <f t="shared" si="30"/>
        <v>-19</v>
      </c>
      <c r="P98" s="915">
        <f t="shared" si="30"/>
        <v>-30</v>
      </c>
      <c r="Q98" s="915">
        <f t="shared" si="30"/>
        <v>-39</v>
      </c>
      <c r="R98" s="915">
        <f t="shared" si="30"/>
        <v>-42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926">
        <v>0.4</v>
      </c>
      <c r="F99" s="69"/>
      <c r="G99" s="18" t="s">
        <v>238</v>
      </c>
      <c r="H99" s="932">
        <f t="shared" ref="H99:R99" si="31">H98/H33</f>
        <v>9.5767138324949638E-2</v>
      </c>
      <c r="I99" s="928">
        <f t="shared" si="31"/>
        <v>0.11659940857814435</v>
      </c>
      <c r="J99" s="928">
        <f t="shared" si="31"/>
        <v>9.2521607628569345E-3</v>
      </c>
      <c r="K99" s="928">
        <f t="shared" si="31"/>
        <v>-3.5376771947276793E-2</v>
      </c>
      <c r="L99" s="928">
        <f t="shared" si="31"/>
        <v>-0.10279745705754673</v>
      </c>
      <c r="M99" s="928">
        <f t="shared" si="31"/>
        <v>-0.4074842876088336</v>
      </c>
      <c r="N99" s="928">
        <f t="shared" si="31"/>
        <v>-5.2217200345793906E-2</v>
      </c>
      <c r="O99" s="928">
        <f t="shared" si="31"/>
        <v>-0.11135596399099776</v>
      </c>
      <c r="P99" s="928">
        <f t="shared" si="31"/>
        <v>-0.22122588637838475</v>
      </c>
      <c r="Q99" s="928">
        <f t="shared" si="31"/>
        <v>-0.30193002965107729</v>
      </c>
      <c r="R99" s="928">
        <f t="shared" si="31"/>
        <v>-0.32193529100650764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933">
        <v>0</v>
      </c>
      <c r="E100" s="933">
        <v>5</v>
      </c>
      <c r="F100" s="69"/>
      <c r="G100" s="18" t="s">
        <v>242</v>
      </c>
      <c r="H100" s="929">
        <f t="shared" ref="H100:R100" si="32">H98/H89</f>
        <v>0.55979410520377926</v>
      </c>
      <c r="I100" s="929">
        <f t="shared" si="32"/>
        <v>0.34246405859500645</v>
      </c>
      <c r="J100" s="929">
        <f t="shared" si="32"/>
        <v>4.0149478193501363E-2</v>
      </c>
      <c r="K100" s="929">
        <f t="shared" si="32"/>
        <v>-0.67178276269185133</v>
      </c>
      <c r="L100" s="929">
        <f t="shared" si="32"/>
        <v>-1.4918452190598053</v>
      </c>
      <c r="M100" s="929">
        <f t="shared" si="32"/>
        <v>-1.1309210526315792</v>
      </c>
      <c r="N100" s="929">
        <f t="shared" si="32"/>
        <v>-0.56525562115312145</v>
      </c>
      <c r="O100" s="929">
        <f t="shared" si="32"/>
        <v>-1.1586072321483036</v>
      </c>
      <c r="P100" s="929">
        <f t="shared" si="32"/>
        <v>-1.7680339462517654</v>
      </c>
      <c r="Q100" s="929">
        <f t="shared" si="32"/>
        <v>-2.2417658216933996</v>
      </c>
      <c r="R100" s="929">
        <f t="shared" si="32"/>
        <v>-2.3437499999999996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924"/>
      <c r="F101" s="69"/>
      <c r="G101" s="18" t="s">
        <v>246</v>
      </c>
      <c r="H101" s="925">
        <f t="shared" ref="H101:R101" si="33">-(H75+H77+H78+H79+H80+H81)</f>
        <v>0</v>
      </c>
      <c r="I101" s="925">
        <f t="shared" si="33"/>
        <v>0.311</v>
      </c>
      <c r="J101" s="925">
        <f t="shared" si="33"/>
        <v>0</v>
      </c>
      <c r="K101" s="925">
        <f t="shared" si="33"/>
        <v>0</v>
      </c>
      <c r="L101" s="925">
        <f t="shared" si="33"/>
        <v>0</v>
      </c>
      <c r="M101" s="925">
        <f t="shared" si="33"/>
        <v>0</v>
      </c>
      <c r="N101" s="925">
        <f t="shared" si="33"/>
        <v>0</v>
      </c>
      <c r="O101" s="925">
        <f t="shared" si="33"/>
        <v>0</v>
      </c>
      <c r="P101" s="925">
        <f t="shared" si="33"/>
        <v>0</v>
      </c>
      <c r="Q101" s="925">
        <f t="shared" si="33"/>
        <v>0</v>
      </c>
      <c r="R101" s="925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933">
        <v>1.2</v>
      </c>
      <c r="F102" s="69"/>
      <c r="G102" s="18" t="s">
        <v>250</v>
      </c>
      <c r="H102" s="934" t="e">
        <f t="shared" ref="H102:R102" si="34">H89/H101</f>
        <v>#DIV/0!</v>
      </c>
      <c r="I102" s="929">
        <f t="shared" si="34"/>
        <v>129.94533762057881</v>
      </c>
      <c r="J102" s="929" t="e">
        <f t="shared" si="34"/>
        <v>#DIV/0!</v>
      </c>
      <c r="K102" s="929" t="e">
        <f t="shared" si="34"/>
        <v>#DIV/0!</v>
      </c>
      <c r="L102" s="929" t="e">
        <f t="shared" si="34"/>
        <v>#DIV/0!</v>
      </c>
      <c r="M102" s="929" t="e">
        <f t="shared" si="34"/>
        <v>#DIV/0!</v>
      </c>
      <c r="N102" s="929" t="e">
        <f t="shared" si="34"/>
        <v>#DIV/0!</v>
      </c>
      <c r="O102" s="929" t="e">
        <f t="shared" si="34"/>
        <v>#DIV/0!</v>
      </c>
      <c r="P102" s="929" t="e">
        <f t="shared" si="34"/>
        <v>#DIV/0!</v>
      </c>
      <c r="Q102" s="929" t="e">
        <f t="shared" si="34"/>
        <v>#DIV/0!</v>
      </c>
      <c r="R102" s="929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933">
        <v>0</v>
      </c>
      <c r="F103" s="69"/>
      <c r="G103" s="914" t="s">
        <v>254</v>
      </c>
      <c r="H103" s="925">
        <f t="shared" ref="H103:R103" si="35">H5-H20</f>
        <v>-6.0650000000000004</v>
      </c>
      <c r="I103" s="925">
        <f t="shared" si="35"/>
        <v>-12.393000000000001</v>
      </c>
      <c r="J103" s="925">
        <f t="shared" si="35"/>
        <v>0.30900000000000016</v>
      </c>
      <c r="K103" s="925">
        <f t="shared" si="35"/>
        <v>4.5440000000000005</v>
      </c>
      <c r="L103" s="925">
        <f t="shared" si="35"/>
        <v>11.285999999999998</v>
      </c>
      <c r="M103" s="925">
        <f t="shared" si="35"/>
        <v>66.556000000000012</v>
      </c>
      <c r="N103" s="925">
        <f t="shared" si="35"/>
        <v>12</v>
      </c>
      <c r="O103" s="925">
        <f t="shared" si="35"/>
        <v>23</v>
      </c>
      <c r="P103" s="925">
        <f t="shared" si="35"/>
        <v>34</v>
      </c>
      <c r="Q103" s="925">
        <f t="shared" si="35"/>
        <v>44</v>
      </c>
      <c r="R103" s="925">
        <f t="shared" si="35"/>
        <v>47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933">
        <v>1</v>
      </c>
      <c r="F104" s="69"/>
      <c r="G104" s="18" t="s">
        <v>258</v>
      </c>
      <c r="H104" s="934">
        <f t="shared" ref="H104:R104" si="36">H5/H20</f>
        <v>0.39651741293532339</v>
      </c>
      <c r="I104" s="934">
        <f t="shared" si="36"/>
        <v>0.16065018625126989</v>
      </c>
      <c r="J104" s="934">
        <f t="shared" si="36"/>
        <v>1.1180741306839894</v>
      </c>
      <c r="K104" s="934">
        <f t="shared" si="36"/>
        <v>1.9797326433807676</v>
      </c>
      <c r="L104" s="934">
        <f t="shared" si="36"/>
        <v>4.2618497109826583</v>
      </c>
      <c r="M104" s="934">
        <f t="shared" si="36"/>
        <v>14.546916344392429</v>
      </c>
      <c r="N104" s="934">
        <f t="shared" si="36"/>
        <v>3.4</v>
      </c>
      <c r="O104" s="934">
        <f t="shared" si="36"/>
        <v>5.6</v>
      </c>
      <c r="P104" s="934">
        <f t="shared" si="36"/>
        <v>7.8</v>
      </c>
      <c r="Q104" s="934">
        <f t="shared" si="36"/>
        <v>9.8000000000000007</v>
      </c>
      <c r="R104" s="934">
        <f t="shared" si="36"/>
        <v>10.4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933">
        <v>1</v>
      </c>
      <c r="F105" s="69"/>
      <c r="G105" s="186" t="s">
        <v>262</v>
      </c>
      <c r="H105" s="934">
        <f t="shared" ref="H105:R105" si="37">-H6/((H38+H41-H45+H47)/12)</f>
        <v>0.36865313250382015</v>
      </c>
      <c r="I105" s="934">
        <f t="shared" si="37"/>
        <v>0.14179142608962242</v>
      </c>
      <c r="J105" s="934">
        <f t="shared" si="37"/>
        <v>0.28428723491361668</v>
      </c>
      <c r="K105" s="934">
        <f t="shared" si="37"/>
        <v>1.1786572159873991</v>
      </c>
      <c r="L105" s="934">
        <f t="shared" si="37"/>
        <v>1.8163528562468192</v>
      </c>
      <c r="M105" s="934">
        <f t="shared" si="37"/>
        <v>8.2345188137850922</v>
      </c>
      <c r="N105" s="934">
        <f t="shared" si="37"/>
        <v>1.0739284686930672</v>
      </c>
      <c r="O105" s="934">
        <f t="shared" si="37"/>
        <v>1.867401523747771</v>
      </c>
      <c r="P105" s="934">
        <f t="shared" si="37"/>
        <v>3.5401213755900209</v>
      </c>
      <c r="Q105" s="934">
        <f t="shared" si="37"/>
        <v>4.7239022295387025</v>
      </c>
      <c r="R105" s="934">
        <f t="shared" si="37"/>
        <v>5.0115069174789628</v>
      </c>
    </row>
    <row r="106" spans="1:18" x14ac:dyDescent="0.2">
      <c r="C106" s="16"/>
      <c r="F106" s="69"/>
      <c r="G106" s="68" t="s">
        <v>263</v>
      </c>
      <c r="H106" s="920">
        <f t="shared" ref="H106:R106" si="38">H95</f>
        <v>2011</v>
      </c>
      <c r="I106" s="920">
        <f t="shared" si="38"/>
        <v>2012</v>
      </c>
      <c r="J106" s="920">
        <f t="shared" si="38"/>
        <v>2013</v>
      </c>
      <c r="K106" s="920">
        <f t="shared" si="38"/>
        <v>2014</v>
      </c>
      <c r="L106" s="920">
        <f t="shared" si="38"/>
        <v>2015</v>
      </c>
      <c r="M106" s="920">
        <f t="shared" si="38"/>
        <v>2016</v>
      </c>
      <c r="N106" s="920">
        <f t="shared" si="38"/>
        <v>2017</v>
      </c>
      <c r="O106" s="920">
        <f t="shared" si="38"/>
        <v>2018</v>
      </c>
      <c r="P106" s="920">
        <f t="shared" si="38"/>
        <v>2019</v>
      </c>
      <c r="Q106" s="920">
        <f t="shared" si="38"/>
        <v>2020</v>
      </c>
      <c r="R106" s="920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926">
        <v>0.6</v>
      </c>
      <c r="F107" s="69"/>
      <c r="G107" s="914" t="s">
        <v>267</v>
      </c>
      <c r="H107" s="932">
        <f t="shared" ref="H107:R107" si="39">H17/H4</f>
        <v>0</v>
      </c>
      <c r="I107" s="932">
        <f t="shared" si="39"/>
        <v>0</v>
      </c>
      <c r="J107" s="932">
        <f t="shared" si="39"/>
        <v>0</v>
      </c>
      <c r="K107" s="932">
        <f t="shared" si="39"/>
        <v>0</v>
      </c>
      <c r="L107" s="932">
        <f t="shared" si="39"/>
        <v>0</v>
      </c>
      <c r="M107" s="932">
        <f t="shared" si="39"/>
        <v>0</v>
      </c>
      <c r="N107" s="932">
        <f t="shared" si="39"/>
        <v>0</v>
      </c>
      <c r="O107" s="932">
        <f t="shared" si="39"/>
        <v>0</v>
      </c>
      <c r="P107" s="932">
        <f t="shared" si="39"/>
        <v>0</v>
      </c>
      <c r="Q107" s="932">
        <f t="shared" si="39"/>
        <v>0</v>
      </c>
      <c r="R107" s="932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926">
        <v>0.4</v>
      </c>
      <c r="F108" s="69"/>
      <c r="G108" s="186" t="s">
        <v>271</v>
      </c>
      <c r="H108" s="932" t="e">
        <f t="shared" ref="H108:R108" si="40">H27/H17</f>
        <v>#DIV/0!</v>
      </c>
      <c r="I108" s="932" t="e">
        <f t="shared" si="40"/>
        <v>#DIV/0!</v>
      </c>
      <c r="J108" s="932" t="e">
        <f t="shared" si="40"/>
        <v>#DIV/0!</v>
      </c>
      <c r="K108" s="932" t="e">
        <f t="shared" si="40"/>
        <v>#DIV/0!</v>
      </c>
      <c r="L108" s="932" t="e">
        <f t="shared" si="40"/>
        <v>#DIV/0!</v>
      </c>
      <c r="M108" s="932" t="e">
        <f t="shared" si="40"/>
        <v>#DIV/0!</v>
      </c>
      <c r="N108" s="932" t="e">
        <f t="shared" si="40"/>
        <v>#DIV/0!</v>
      </c>
      <c r="O108" s="932" t="e">
        <f t="shared" si="40"/>
        <v>#DIV/0!</v>
      </c>
      <c r="P108" s="932" t="e">
        <f t="shared" si="40"/>
        <v>#DIV/0!</v>
      </c>
      <c r="Q108" s="932" t="e">
        <f t="shared" si="40"/>
        <v>#DIV/0!</v>
      </c>
      <c r="R108" s="932" t="e">
        <f t="shared" si="40"/>
        <v>#DIV/0!</v>
      </c>
    </row>
    <row r="109" spans="1:18" x14ac:dyDescent="0.2">
      <c r="C109" s="16"/>
      <c r="F109" s="69"/>
      <c r="G109" s="198" t="s">
        <v>272</v>
      </c>
      <c r="H109" s="920">
        <f t="shared" ref="H109:R109" si="41">H95</f>
        <v>2011</v>
      </c>
      <c r="I109" s="920">
        <f t="shared" si="41"/>
        <v>2012</v>
      </c>
      <c r="J109" s="920">
        <f t="shared" si="41"/>
        <v>2013</v>
      </c>
      <c r="K109" s="920">
        <f t="shared" si="41"/>
        <v>2014</v>
      </c>
      <c r="L109" s="920">
        <f t="shared" si="41"/>
        <v>2015</v>
      </c>
      <c r="M109" s="920">
        <f t="shared" si="41"/>
        <v>2016</v>
      </c>
      <c r="N109" s="920">
        <f t="shared" si="41"/>
        <v>2017</v>
      </c>
      <c r="O109" s="920">
        <f t="shared" si="41"/>
        <v>2018</v>
      </c>
      <c r="P109" s="920">
        <f t="shared" si="41"/>
        <v>2019</v>
      </c>
      <c r="Q109" s="920">
        <f t="shared" si="41"/>
        <v>2020</v>
      </c>
      <c r="R109" s="920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924"/>
      <c r="F110" s="69"/>
      <c r="G110" s="18" t="s">
        <v>276</v>
      </c>
      <c r="H110" s="935">
        <f t="shared" ref="H110:R110" si="42">H10/H4</f>
        <v>0.98999035457002482</v>
      </c>
      <c r="I110" s="935">
        <f t="shared" si="42"/>
        <v>0.99422751663969433</v>
      </c>
      <c r="J110" s="935">
        <f t="shared" si="42"/>
        <v>0.99241923741570093</v>
      </c>
      <c r="K110" s="935">
        <f t="shared" si="42"/>
        <v>0.97428400185966268</v>
      </c>
      <c r="L110" s="935">
        <f t="shared" si="42"/>
        <v>0.9564064435450732</v>
      </c>
      <c r="M110" s="935">
        <f t="shared" si="42"/>
        <v>0.81223349893727981</v>
      </c>
      <c r="N110" s="935">
        <f t="shared" si="42"/>
        <v>0.95533638271990917</v>
      </c>
      <c r="O110" s="935">
        <f t="shared" si="42"/>
        <v>0.92645397857709466</v>
      </c>
      <c r="P110" s="935">
        <f t="shared" si="42"/>
        <v>0.89767083067671072</v>
      </c>
      <c r="Q110" s="935">
        <f t="shared" si="42"/>
        <v>0.87134684103983262</v>
      </c>
      <c r="R110" s="935">
        <f t="shared" si="42"/>
        <v>0.86347011702186316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924"/>
      <c r="F111" s="69"/>
      <c r="G111" s="18" t="s">
        <v>280</v>
      </c>
      <c r="H111" s="935">
        <f t="shared" ref="H111:R111" si="43">-(H58)/H15</f>
        <v>4.4586698331265495E-2</v>
      </c>
      <c r="I111" s="935">
        <f t="shared" si="43"/>
        <v>9.7022834805638572E-2</v>
      </c>
      <c r="J111" s="935">
        <f t="shared" si="43"/>
        <v>5.8872056201393547E-2</v>
      </c>
      <c r="K111" s="935">
        <f t="shared" si="43"/>
        <v>0</v>
      </c>
      <c r="L111" s="935">
        <f t="shared" si="43"/>
        <v>0</v>
      </c>
      <c r="M111" s="935">
        <f t="shared" si="43"/>
        <v>0</v>
      </c>
      <c r="N111" s="935">
        <f t="shared" si="43"/>
        <v>0</v>
      </c>
      <c r="O111" s="935">
        <f t="shared" si="43"/>
        <v>0</v>
      </c>
      <c r="P111" s="935">
        <f t="shared" si="43"/>
        <v>0</v>
      </c>
      <c r="Q111" s="935">
        <f t="shared" si="43"/>
        <v>0</v>
      </c>
      <c r="R111" s="935">
        <f t="shared" si="43"/>
        <v>0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924"/>
      <c r="F112" s="69"/>
      <c r="G112" s="914" t="s">
        <v>284</v>
      </c>
      <c r="H112" s="929">
        <f t="shared" ref="H112:R112" si="44">H33/H4</f>
        <v>0.20822825508143356</v>
      </c>
      <c r="I112" s="929">
        <f t="shared" si="44"/>
        <v>0.28886022656753829</v>
      </c>
      <c r="J112" s="929">
        <f t="shared" si="44"/>
        <v>0.24670122831153152</v>
      </c>
      <c r="K112" s="929">
        <f t="shared" si="44"/>
        <v>0.22523203773098746</v>
      </c>
      <c r="L112" s="929">
        <f t="shared" si="44"/>
        <v>0.26831647751292642</v>
      </c>
      <c r="M112" s="929">
        <f t="shared" si="44"/>
        <v>0.41007863341276363</v>
      </c>
      <c r="N112" s="929">
        <f t="shared" si="44"/>
        <v>0.45282865197321237</v>
      </c>
      <c r="O112" s="929">
        <f t="shared" si="44"/>
        <v>0.44816844140220741</v>
      </c>
      <c r="P112" s="929">
        <f t="shared" si="44"/>
        <v>0.35581164086134925</v>
      </c>
      <c r="Q112" s="929">
        <f t="shared" si="44"/>
        <v>0.33914285489236451</v>
      </c>
      <c r="R112" s="929">
        <f t="shared" si="44"/>
        <v>0.34253509736943677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924"/>
      <c r="F113" s="69"/>
      <c r="G113" s="186" t="s">
        <v>288</v>
      </c>
      <c r="H113" s="929">
        <f t="shared" ref="H113:R113" si="45">H33/H15</f>
        <v>0.21033362004003747</v>
      </c>
      <c r="I113" s="929">
        <f t="shared" si="45"/>
        <v>0.29053734857775071</v>
      </c>
      <c r="J113" s="929">
        <f t="shared" si="45"/>
        <v>0.24858569746587267</v>
      </c>
      <c r="K113" s="929">
        <f t="shared" si="45"/>
        <v>0.23117698463802777</v>
      </c>
      <c r="L113" s="929">
        <f t="shared" si="45"/>
        <v>0.28054649707123319</v>
      </c>
      <c r="M113" s="929">
        <f t="shared" si="45"/>
        <v>0.50487776476752977</v>
      </c>
      <c r="N113" s="929">
        <f t="shared" si="45"/>
        <v>0.47399916946947801</v>
      </c>
      <c r="O113" s="929">
        <f t="shared" si="45"/>
        <v>0.48374603786637332</v>
      </c>
      <c r="P113" s="929">
        <f t="shared" si="45"/>
        <v>0.39637206501755218</v>
      </c>
      <c r="Q113" s="929">
        <f t="shared" si="45"/>
        <v>0.3892168295321346</v>
      </c>
      <c r="R113" s="929">
        <f t="shared" si="45"/>
        <v>0.39669594884285231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926">
        <v>0.5</v>
      </c>
      <c r="E114" s="926">
        <f>1/3</f>
        <v>0.33333333333333331</v>
      </c>
      <c r="F114" s="69"/>
      <c r="G114" s="18" t="s">
        <v>292</v>
      </c>
      <c r="H114" s="935">
        <f t="shared" ref="H114:R114" si="46">H27/H4</f>
        <v>0.97475358940610279</v>
      </c>
      <c r="I114" s="935">
        <f t="shared" si="46"/>
        <v>0.96406799459742287</v>
      </c>
      <c r="J114" s="935">
        <f t="shared" si="46"/>
        <v>0.99321980325252535</v>
      </c>
      <c r="K114" s="935">
        <f t="shared" si="46"/>
        <v>0.98701316887641644</v>
      </c>
      <c r="L114" s="935">
        <f t="shared" si="46"/>
        <v>0.98977416846754429</v>
      </c>
      <c r="M114" s="935">
        <f t="shared" si="46"/>
        <v>0.98708972300966569</v>
      </c>
      <c r="N114" s="935">
        <f t="shared" si="46"/>
        <v>0.98719205092703277</v>
      </c>
      <c r="O114" s="935">
        <f t="shared" si="46"/>
        <v>0.98695608777192323</v>
      </c>
      <c r="P114" s="935">
        <f t="shared" si="46"/>
        <v>0.98589694140736717</v>
      </c>
      <c r="Q114" s="935">
        <f t="shared" si="46"/>
        <v>0.9865544321013261</v>
      </c>
      <c r="R114" s="935">
        <f t="shared" si="46"/>
        <v>0.9865544321013261</v>
      </c>
    </row>
    <row r="115" spans="1:19" x14ac:dyDescent="0.2">
      <c r="A115" s="77"/>
      <c r="C115" s="77"/>
      <c r="D115" s="78"/>
      <c r="E115" s="79"/>
      <c r="F115" s="69"/>
      <c r="G115" s="912" t="s">
        <v>293</v>
      </c>
      <c r="H115" s="920">
        <f t="shared" ref="H115:R115" si="47">H109</f>
        <v>2011</v>
      </c>
      <c r="I115" s="920">
        <f t="shared" si="47"/>
        <v>2012</v>
      </c>
      <c r="J115" s="920">
        <f t="shared" si="47"/>
        <v>2013</v>
      </c>
      <c r="K115" s="920">
        <f t="shared" si="47"/>
        <v>2014</v>
      </c>
      <c r="L115" s="920">
        <f t="shared" si="47"/>
        <v>2015</v>
      </c>
      <c r="M115" s="920">
        <f t="shared" si="47"/>
        <v>2016</v>
      </c>
      <c r="N115" s="920">
        <f t="shared" si="47"/>
        <v>2017</v>
      </c>
      <c r="O115" s="920">
        <f t="shared" si="47"/>
        <v>2018</v>
      </c>
      <c r="P115" s="920">
        <f t="shared" si="47"/>
        <v>2019</v>
      </c>
      <c r="Q115" s="920">
        <f t="shared" si="47"/>
        <v>2020</v>
      </c>
      <c r="R115" s="920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926">
        <v>0.05</v>
      </c>
      <c r="G116" s="914" t="s">
        <v>297</v>
      </c>
      <c r="H116" s="928">
        <f t="shared" ref="H116:R116" si="48">H35/H33</f>
        <v>0.18912170231245251</v>
      </c>
      <c r="I116" s="928">
        <f t="shared" si="48"/>
        <v>0.12624581918666858</v>
      </c>
      <c r="J116" s="928">
        <f t="shared" si="48"/>
        <v>0.2865124289810021</v>
      </c>
      <c r="K116" s="928">
        <f t="shared" si="48"/>
        <v>0.25925142999253914</v>
      </c>
      <c r="L116" s="928">
        <f t="shared" si="48"/>
        <v>0.32502947301153579</v>
      </c>
      <c r="M116" s="928">
        <f t="shared" si="48"/>
        <v>0.20299576518223811</v>
      </c>
      <c r="N116" s="928">
        <f t="shared" si="48"/>
        <v>0.17028029032763392</v>
      </c>
      <c r="O116" s="928">
        <f t="shared" si="48"/>
        <v>0.1734808702175544</v>
      </c>
      <c r="P116" s="928">
        <f t="shared" si="48"/>
        <v>0.22090142174502977</v>
      </c>
      <c r="Q116" s="928">
        <f t="shared" si="48"/>
        <v>0.23391835502326414</v>
      </c>
      <c r="R116" s="928">
        <f t="shared" si="48"/>
        <v>0.23391664942013318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926">
        <v>0.95</v>
      </c>
      <c r="G117" s="18" t="s">
        <v>301</v>
      </c>
      <c r="H117" s="935">
        <f t="shared" ref="H117:R117" si="49">(H36+H34)/H33</f>
        <v>0.81032340558993465</v>
      </c>
      <c r="I117" s="935">
        <f t="shared" si="49"/>
        <v>0.87307177097988997</v>
      </c>
      <c r="J117" s="935">
        <f t="shared" si="49"/>
        <v>0.71348757101899796</v>
      </c>
      <c r="K117" s="935">
        <f t="shared" si="49"/>
        <v>0.74074857000746075</v>
      </c>
      <c r="L117" s="935">
        <f t="shared" si="49"/>
        <v>0.67497052698846427</v>
      </c>
      <c r="M117" s="935">
        <f t="shared" si="49"/>
        <v>0.79700423481776195</v>
      </c>
      <c r="N117" s="935">
        <f t="shared" si="49"/>
        <v>0.54384214160144351</v>
      </c>
      <c r="O117" s="935">
        <f t="shared" si="49"/>
        <v>0.82651912978244568</v>
      </c>
      <c r="P117" s="935">
        <f t="shared" si="49"/>
        <v>0.7790985782549702</v>
      </c>
      <c r="Q117" s="935">
        <f t="shared" si="49"/>
        <v>0.76608164497673592</v>
      </c>
      <c r="R117" s="935">
        <f t="shared" si="49"/>
        <v>0.76608335057986676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926">
        <v>0.95</v>
      </c>
      <c r="G118" s="186" t="s">
        <v>305</v>
      </c>
      <c r="H118" s="928">
        <f t="shared" ref="H118:R118" si="50">H38/(H38+H41)</f>
        <v>0</v>
      </c>
      <c r="I118" s="928">
        <f t="shared" si="50"/>
        <v>0</v>
      </c>
      <c r="J118" s="928">
        <f t="shared" si="50"/>
        <v>0</v>
      </c>
      <c r="K118" s="928">
        <f t="shared" si="50"/>
        <v>0</v>
      </c>
      <c r="L118" s="928">
        <f t="shared" si="50"/>
        <v>4.4092115778547342E-3</v>
      </c>
      <c r="M118" s="928">
        <f t="shared" si="50"/>
        <v>0</v>
      </c>
      <c r="N118" s="928">
        <f t="shared" si="50"/>
        <v>0</v>
      </c>
      <c r="O118" s="928">
        <f t="shared" si="50"/>
        <v>0</v>
      </c>
      <c r="P118" s="928">
        <f t="shared" si="50"/>
        <v>0</v>
      </c>
      <c r="Q118" s="928">
        <f t="shared" si="50"/>
        <v>0</v>
      </c>
      <c r="R118" s="928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912" t="s">
        <v>306</v>
      </c>
      <c r="H119" s="920">
        <f>H115</f>
        <v>2011</v>
      </c>
      <c r="I119" s="920">
        <f t="shared" ref="I119:R119" si="51">I115</f>
        <v>2012</v>
      </c>
      <c r="J119" s="920">
        <f t="shared" si="51"/>
        <v>2013</v>
      </c>
      <c r="K119" s="920">
        <f t="shared" si="51"/>
        <v>2014</v>
      </c>
      <c r="L119" s="920">
        <f t="shared" si="51"/>
        <v>2015</v>
      </c>
      <c r="M119" s="920">
        <f t="shared" si="51"/>
        <v>2016</v>
      </c>
      <c r="N119" s="920">
        <f t="shared" si="51"/>
        <v>2017</v>
      </c>
      <c r="O119" s="920">
        <f t="shared" si="51"/>
        <v>2018</v>
      </c>
      <c r="P119" s="920">
        <f t="shared" si="51"/>
        <v>2019</v>
      </c>
      <c r="Q119" s="920">
        <f t="shared" si="51"/>
        <v>2020</v>
      </c>
      <c r="R119" s="920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936">
        <v>0.5</v>
      </c>
      <c r="E120" s="937" t="s">
        <v>310</v>
      </c>
      <c r="F120" s="4"/>
      <c r="G120" s="914" t="s">
        <v>311</v>
      </c>
      <c r="H120" s="929" t="str">
        <f t="shared" ref="H120:R120" si="52">IF(H116&lt;$D$120,$E$120,H35/H4)</f>
        <v>N/A</v>
      </c>
      <c r="I120" s="929" t="str">
        <f t="shared" si="52"/>
        <v>N/A</v>
      </c>
      <c r="J120" s="929" t="str">
        <f t="shared" si="52"/>
        <v>N/A</v>
      </c>
      <c r="K120" s="929" t="str">
        <f t="shared" si="52"/>
        <v>N/A</v>
      </c>
      <c r="L120" s="929" t="str">
        <f t="shared" si="52"/>
        <v>N/A</v>
      </c>
      <c r="M120" s="929" t="str">
        <f t="shared" si="52"/>
        <v>N/A</v>
      </c>
      <c r="N120" s="929" t="str">
        <f t="shared" si="52"/>
        <v>N/A</v>
      </c>
      <c r="O120" s="929" t="str">
        <f t="shared" si="52"/>
        <v>N/A</v>
      </c>
      <c r="P120" s="929" t="str">
        <f t="shared" si="52"/>
        <v>N/A</v>
      </c>
      <c r="Q120" s="929" t="str">
        <f t="shared" si="52"/>
        <v>N/A</v>
      </c>
      <c r="R120" s="929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936">
        <v>0.5</v>
      </c>
      <c r="E121" s="937" t="s">
        <v>310</v>
      </c>
      <c r="F121" s="4"/>
      <c r="G121" s="18" t="s">
        <v>315</v>
      </c>
      <c r="H121" s="929" t="str">
        <f t="shared" ref="H121:R121" si="53">IF(H116&lt;$D$121,$E$121,H35/H15)</f>
        <v>N/A</v>
      </c>
      <c r="I121" s="929" t="str">
        <f t="shared" si="53"/>
        <v>N/A</v>
      </c>
      <c r="J121" s="929" t="str">
        <f t="shared" si="53"/>
        <v>N/A</v>
      </c>
      <c r="K121" s="929" t="str">
        <f t="shared" si="53"/>
        <v>N/A</v>
      </c>
      <c r="L121" s="929" t="str">
        <f t="shared" si="53"/>
        <v>N/A</v>
      </c>
      <c r="M121" s="929" t="str">
        <f t="shared" si="53"/>
        <v>N/A</v>
      </c>
      <c r="N121" s="929" t="str">
        <f t="shared" si="53"/>
        <v>N/A</v>
      </c>
      <c r="O121" s="929" t="str">
        <f t="shared" si="53"/>
        <v>N/A</v>
      </c>
      <c r="P121" s="929" t="str">
        <f t="shared" si="53"/>
        <v>N/A</v>
      </c>
      <c r="Q121" s="929" t="str">
        <f t="shared" si="53"/>
        <v>N/A</v>
      </c>
      <c r="R121" s="929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936">
        <v>0.5</v>
      </c>
      <c r="E122" s="937" t="s">
        <v>310</v>
      </c>
      <c r="F122" s="4"/>
      <c r="G122" s="914" t="s">
        <v>318</v>
      </c>
      <c r="H122" s="935" t="str">
        <f t="shared" ref="H122:R122" si="54">IF(H116&lt;$D$122,$E$122,H46/H33)</f>
        <v>N/A</v>
      </c>
      <c r="I122" s="935" t="str">
        <f t="shared" si="54"/>
        <v>N/A</v>
      </c>
      <c r="J122" s="935" t="str">
        <f t="shared" si="54"/>
        <v>N/A</v>
      </c>
      <c r="K122" s="935" t="str">
        <f t="shared" si="54"/>
        <v>N/A</v>
      </c>
      <c r="L122" s="935" t="str">
        <f t="shared" si="54"/>
        <v>N/A</v>
      </c>
      <c r="M122" s="935" t="str">
        <f t="shared" si="54"/>
        <v>N/A</v>
      </c>
      <c r="N122" s="935" t="str">
        <f t="shared" si="54"/>
        <v>N/A</v>
      </c>
      <c r="O122" s="935" t="str">
        <f t="shared" si="54"/>
        <v>N/A</v>
      </c>
      <c r="P122" s="935" t="str">
        <f t="shared" si="54"/>
        <v>N/A</v>
      </c>
      <c r="Q122" s="935" t="str">
        <f t="shared" si="54"/>
        <v>N/A</v>
      </c>
      <c r="R122" s="935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936">
        <v>0.5</v>
      </c>
      <c r="E123" s="937" t="s">
        <v>310</v>
      </c>
      <c r="F123" s="4"/>
      <c r="G123" s="18" t="s">
        <v>322</v>
      </c>
      <c r="H123" s="935" t="str">
        <f t="shared" ref="H123:R123" si="55">IF(H116&lt;$D$122,$E$123,H51/H33)</f>
        <v>N/A</v>
      </c>
      <c r="I123" s="935" t="str">
        <f t="shared" si="55"/>
        <v>N/A</v>
      </c>
      <c r="J123" s="935" t="str">
        <f t="shared" si="55"/>
        <v>N/A</v>
      </c>
      <c r="K123" s="935" t="str">
        <f t="shared" si="55"/>
        <v>N/A</v>
      </c>
      <c r="L123" s="935" t="str">
        <f t="shared" si="55"/>
        <v>N/A</v>
      </c>
      <c r="M123" s="935" t="str">
        <f t="shared" si="55"/>
        <v>N/A</v>
      </c>
      <c r="N123" s="935" t="str">
        <f t="shared" si="55"/>
        <v>N/A</v>
      </c>
      <c r="O123" s="935" t="str">
        <f t="shared" si="55"/>
        <v>N/A</v>
      </c>
      <c r="P123" s="935" t="str">
        <f t="shared" si="55"/>
        <v>N/A</v>
      </c>
      <c r="Q123" s="935" t="str">
        <f t="shared" si="55"/>
        <v>N/A</v>
      </c>
      <c r="R123" s="935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936">
        <v>0.5</v>
      </c>
      <c r="E124" s="937" t="s">
        <v>310</v>
      </c>
      <c r="F124" s="4"/>
      <c r="G124" s="18" t="s">
        <v>326</v>
      </c>
      <c r="H124" s="935" t="str">
        <f t="shared" ref="H124:R124" si="56">IF(H116&lt;$D$124,$E$124,H51/H4)</f>
        <v>N/A</v>
      </c>
      <c r="I124" s="935" t="str">
        <f t="shared" si="56"/>
        <v>N/A</v>
      </c>
      <c r="J124" s="935" t="str">
        <f t="shared" si="56"/>
        <v>N/A</v>
      </c>
      <c r="K124" s="935" t="str">
        <f t="shared" si="56"/>
        <v>N/A</v>
      </c>
      <c r="L124" s="935" t="str">
        <f t="shared" si="56"/>
        <v>N/A</v>
      </c>
      <c r="M124" s="935" t="str">
        <f t="shared" si="56"/>
        <v>N/A</v>
      </c>
      <c r="N124" s="935" t="str">
        <f t="shared" si="56"/>
        <v>N/A</v>
      </c>
      <c r="O124" s="935" t="str">
        <f t="shared" si="56"/>
        <v>N/A</v>
      </c>
      <c r="P124" s="935" t="str">
        <f t="shared" si="56"/>
        <v>N/A</v>
      </c>
      <c r="Q124" s="935" t="str">
        <f t="shared" si="56"/>
        <v>N/A</v>
      </c>
      <c r="R124" s="935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936">
        <v>0.5</v>
      </c>
      <c r="E125" s="937" t="s">
        <v>310</v>
      </c>
      <c r="F125" s="4"/>
      <c r="G125" s="186" t="s">
        <v>330</v>
      </c>
      <c r="H125" s="935" t="str">
        <f t="shared" ref="H125:R125" si="57">IF(H116&lt;$D$125,$E$125,H51/H27)</f>
        <v>N/A</v>
      </c>
      <c r="I125" s="935" t="str">
        <f t="shared" si="57"/>
        <v>N/A</v>
      </c>
      <c r="J125" s="935" t="str">
        <f t="shared" si="57"/>
        <v>N/A</v>
      </c>
      <c r="K125" s="935" t="str">
        <f t="shared" si="57"/>
        <v>N/A</v>
      </c>
      <c r="L125" s="935" t="str">
        <f t="shared" si="57"/>
        <v>N/A</v>
      </c>
      <c r="M125" s="935" t="str">
        <f t="shared" si="57"/>
        <v>N/A</v>
      </c>
      <c r="N125" s="935" t="str">
        <f t="shared" si="57"/>
        <v>N/A</v>
      </c>
      <c r="O125" s="935" t="str">
        <f t="shared" si="57"/>
        <v>N/A</v>
      </c>
      <c r="P125" s="935" t="str">
        <f t="shared" si="57"/>
        <v>N/A</v>
      </c>
      <c r="Q125" s="935" t="str">
        <f t="shared" si="57"/>
        <v>N/A</v>
      </c>
      <c r="R125" s="935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920">
        <f>H119</f>
        <v>2011</v>
      </c>
      <c r="I127" s="920">
        <f t="shared" ref="I127:R127" si="58">I119</f>
        <v>2012</v>
      </c>
      <c r="J127" s="920">
        <f t="shared" si="58"/>
        <v>2013</v>
      </c>
      <c r="K127" s="920">
        <f t="shared" si="58"/>
        <v>2014</v>
      </c>
      <c r="L127" s="920">
        <f t="shared" si="58"/>
        <v>2015</v>
      </c>
      <c r="M127" s="920">
        <f t="shared" si="58"/>
        <v>2016</v>
      </c>
      <c r="N127" s="920">
        <f t="shared" si="58"/>
        <v>2017</v>
      </c>
      <c r="O127" s="920">
        <f t="shared" si="58"/>
        <v>2018</v>
      </c>
      <c r="P127" s="920">
        <f t="shared" si="58"/>
        <v>2019</v>
      </c>
      <c r="Q127" s="920">
        <f t="shared" si="58"/>
        <v>2020</v>
      </c>
      <c r="R127" s="920">
        <f t="shared" si="58"/>
        <v>2021</v>
      </c>
    </row>
    <row r="128" spans="1:19" x14ac:dyDescent="0.2">
      <c r="G128" s="938" t="s">
        <v>331</v>
      </c>
      <c r="H128" s="939">
        <f t="shared" ref="H128:R128" si="59">H33</f>
        <v>82.899000000000001</v>
      </c>
      <c r="I128" s="939">
        <f t="shared" si="59"/>
        <v>118.697</v>
      </c>
      <c r="J128" s="939">
        <f t="shared" si="59"/>
        <v>95.220999999999989</v>
      </c>
      <c r="K128" s="939">
        <f t="shared" si="59"/>
        <v>80.42</v>
      </c>
      <c r="L128" s="939">
        <f t="shared" si="59"/>
        <v>90.760999999999996</v>
      </c>
      <c r="M128" s="939">
        <f t="shared" si="59"/>
        <v>156.08699999999999</v>
      </c>
      <c r="N128" s="939">
        <f t="shared" si="59"/>
        <v>172.357</v>
      </c>
      <c r="O128" s="939">
        <f t="shared" si="59"/>
        <v>170.624</v>
      </c>
      <c r="P128" s="939">
        <f t="shared" si="59"/>
        <v>135.608</v>
      </c>
      <c r="Q128" s="939">
        <f t="shared" si="59"/>
        <v>129.16899999999998</v>
      </c>
      <c r="R128" s="939">
        <f t="shared" si="59"/>
        <v>130.46100000000001</v>
      </c>
    </row>
    <row r="129" spans="3:19" x14ac:dyDescent="0.2">
      <c r="G129" s="938" t="s">
        <v>332</v>
      </c>
      <c r="H129" s="939">
        <f t="shared" ref="H129:R130" si="60">H35</f>
        <v>15.678000000000001</v>
      </c>
      <c r="I129" s="939">
        <f t="shared" si="60"/>
        <v>14.984999999999999</v>
      </c>
      <c r="J129" s="939">
        <f t="shared" si="60"/>
        <v>27.282</v>
      </c>
      <c r="K129" s="939">
        <f t="shared" si="60"/>
        <v>20.849</v>
      </c>
      <c r="L129" s="939">
        <f t="shared" si="60"/>
        <v>29.5</v>
      </c>
      <c r="M129" s="939">
        <f t="shared" si="60"/>
        <v>31.684999999999999</v>
      </c>
      <c r="N129" s="939">
        <f t="shared" si="60"/>
        <v>29.349</v>
      </c>
      <c r="O129" s="939">
        <f t="shared" si="60"/>
        <v>29.6</v>
      </c>
      <c r="P129" s="939">
        <f t="shared" si="60"/>
        <v>29.956</v>
      </c>
      <c r="Q129" s="939">
        <f t="shared" si="60"/>
        <v>30.215</v>
      </c>
      <c r="R129" s="939">
        <f t="shared" si="60"/>
        <v>30.516999999999999</v>
      </c>
    </row>
    <row r="130" spans="3:19" x14ac:dyDescent="0.2">
      <c r="G130" s="938" t="s">
        <v>333</v>
      </c>
      <c r="H130" s="939">
        <f t="shared" si="60"/>
        <v>67.174999999999997</v>
      </c>
      <c r="I130" s="939">
        <f t="shared" si="60"/>
        <v>103.631</v>
      </c>
      <c r="J130" s="939">
        <f t="shared" si="60"/>
        <v>67.938999999999993</v>
      </c>
      <c r="K130" s="939">
        <f t="shared" si="60"/>
        <v>59.570999999999998</v>
      </c>
      <c r="L130" s="939">
        <f t="shared" si="60"/>
        <v>61.261000000000003</v>
      </c>
      <c r="M130" s="939">
        <f t="shared" si="60"/>
        <v>124.402</v>
      </c>
      <c r="N130" s="939">
        <f t="shared" si="60"/>
        <v>93.734999999999999</v>
      </c>
      <c r="O130" s="939">
        <f t="shared" si="60"/>
        <v>141.024</v>
      </c>
      <c r="P130" s="939">
        <f t="shared" si="60"/>
        <v>105.652</v>
      </c>
      <c r="Q130" s="939">
        <f t="shared" si="60"/>
        <v>98.953999999999994</v>
      </c>
      <c r="R130" s="939">
        <f t="shared" si="60"/>
        <v>99.944000000000003</v>
      </c>
    </row>
    <row r="131" spans="3:19" x14ac:dyDescent="0.2">
      <c r="G131" s="938" t="s">
        <v>334</v>
      </c>
      <c r="H131" s="939">
        <f t="shared" ref="H131:R131" si="61">H38+H41</f>
        <v>-99.278999999999996</v>
      </c>
      <c r="I131" s="939">
        <f t="shared" si="61"/>
        <v>-110.30499999999999</v>
      </c>
      <c r="J131" s="939">
        <f t="shared" si="61"/>
        <v>-108.012</v>
      </c>
      <c r="K131" s="939">
        <f t="shared" si="61"/>
        <v>-111.36399999999999</v>
      </c>
      <c r="L131" s="939">
        <f t="shared" si="61"/>
        <v>-108.86300000000001</v>
      </c>
      <c r="M131" s="939">
        <f t="shared" si="61"/>
        <v>-115.30499999999999</v>
      </c>
      <c r="N131" s="939">
        <f t="shared" si="61"/>
        <v>-172.357</v>
      </c>
      <c r="O131" s="939">
        <f t="shared" si="61"/>
        <v>-170.62400000000002</v>
      </c>
      <c r="P131" s="939">
        <f t="shared" si="61"/>
        <v>-135.53099999999998</v>
      </c>
      <c r="Q131" s="939">
        <f t="shared" si="61"/>
        <v>-129.17000000000002</v>
      </c>
      <c r="R131" s="939">
        <f t="shared" si="61"/>
        <v>-130.46100000000001</v>
      </c>
    </row>
    <row r="132" spans="3:19" x14ac:dyDescent="0.2">
      <c r="G132" s="938" t="s">
        <v>335</v>
      </c>
      <c r="H132" s="939">
        <f t="shared" ref="H132:R132" si="62">H41</f>
        <v>-99.278999999999996</v>
      </c>
      <c r="I132" s="939">
        <f t="shared" si="62"/>
        <v>-110.30499999999999</v>
      </c>
      <c r="J132" s="939">
        <f t="shared" si="62"/>
        <v>-108.012</v>
      </c>
      <c r="K132" s="939">
        <f t="shared" si="62"/>
        <v>-111.36399999999999</v>
      </c>
      <c r="L132" s="939">
        <f t="shared" si="62"/>
        <v>-108.38300000000001</v>
      </c>
      <c r="M132" s="939">
        <f t="shared" si="62"/>
        <v>-115.30499999999999</v>
      </c>
      <c r="N132" s="939">
        <f t="shared" si="62"/>
        <v>-172.357</v>
      </c>
      <c r="O132" s="939">
        <f t="shared" si="62"/>
        <v>-170.62400000000002</v>
      </c>
      <c r="P132" s="939">
        <f t="shared" si="62"/>
        <v>-135.53099999999998</v>
      </c>
      <c r="Q132" s="939">
        <f t="shared" si="62"/>
        <v>-129.17000000000002</v>
      </c>
      <c r="R132" s="939">
        <f t="shared" si="62"/>
        <v>-130.46100000000001</v>
      </c>
    </row>
    <row r="133" spans="3:19" x14ac:dyDescent="0.2">
      <c r="G133" s="938" t="s">
        <v>336</v>
      </c>
      <c r="H133" s="939">
        <f t="shared" ref="H133:R133" si="63">H38</f>
        <v>0</v>
      </c>
      <c r="I133" s="939">
        <f t="shared" si="63"/>
        <v>0</v>
      </c>
      <c r="J133" s="939">
        <f t="shared" si="63"/>
        <v>0</v>
      </c>
      <c r="K133" s="939">
        <f t="shared" si="63"/>
        <v>0</v>
      </c>
      <c r="L133" s="939">
        <f t="shared" si="63"/>
        <v>-0.48</v>
      </c>
      <c r="M133" s="939">
        <f t="shared" si="63"/>
        <v>0</v>
      </c>
      <c r="N133" s="939">
        <f t="shared" si="63"/>
        <v>0</v>
      </c>
      <c r="O133" s="939">
        <f t="shared" si="63"/>
        <v>0</v>
      </c>
      <c r="P133" s="939">
        <f t="shared" si="63"/>
        <v>0</v>
      </c>
      <c r="Q133" s="939">
        <f t="shared" si="63"/>
        <v>0</v>
      </c>
      <c r="R133" s="939">
        <f t="shared" si="63"/>
        <v>0</v>
      </c>
    </row>
    <row r="134" spans="3:19" x14ac:dyDescent="0.2">
      <c r="G134" s="938" t="s">
        <v>337</v>
      </c>
      <c r="H134" s="939">
        <f t="shared" ref="H134:R134" si="64">H46</f>
        <v>-16.379999999999995</v>
      </c>
      <c r="I134" s="939">
        <f t="shared" si="64"/>
        <v>8.3920000000000101</v>
      </c>
      <c r="J134" s="939">
        <f t="shared" si="64"/>
        <v>-12.791000000000011</v>
      </c>
      <c r="K134" s="939">
        <f t="shared" si="64"/>
        <v>-30.943999999999988</v>
      </c>
      <c r="L134" s="939">
        <f t="shared" si="64"/>
        <v>-18.102000000000018</v>
      </c>
      <c r="M134" s="939">
        <f t="shared" si="64"/>
        <v>40.781999999999996</v>
      </c>
      <c r="N134" s="939">
        <f t="shared" si="64"/>
        <v>0</v>
      </c>
      <c r="O134" s="939">
        <f t="shared" si="64"/>
        <v>0</v>
      </c>
      <c r="P134" s="939">
        <f t="shared" si="64"/>
        <v>7.7000000000026603E-2</v>
      </c>
      <c r="Q134" s="939">
        <f t="shared" si="64"/>
        <v>-1.0000000000331966E-3</v>
      </c>
      <c r="R134" s="939">
        <f t="shared" si="64"/>
        <v>0</v>
      </c>
    </row>
    <row r="135" spans="3:19" x14ac:dyDescent="0.2">
      <c r="G135" s="938" t="s">
        <v>338</v>
      </c>
      <c r="H135" s="939">
        <f t="shared" ref="H135:R135" si="65">H51</f>
        <v>-16.377999999999997</v>
      </c>
      <c r="I135" s="939">
        <f t="shared" si="65"/>
        <v>8.3920000000000101</v>
      </c>
      <c r="J135" s="939">
        <f t="shared" si="65"/>
        <v>-12.791000000000011</v>
      </c>
      <c r="K135" s="939">
        <f t="shared" si="65"/>
        <v>-30.943999999999988</v>
      </c>
      <c r="L135" s="939">
        <f t="shared" si="65"/>
        <v>-18.094000000000019</v>
      </c>
      <c r="M135" s="939">
        <f t="shared" si="65"/>
        <v>40.781999999999996</v>
      </c>
      <c r="N135" s="939">
        <f t="shared" si="65"/>
        <v>0</v>
      </c>
      <c r="O135" s="939">
        <f t="shared" si="65"/>
        <v>0</v>
      </c>
      <c r="P135" s="939">
        <f t="shared" si="65"/>
        <v>7.7000000000026603E-2</v>
      </c>
      <c r="Q135" s="939">
        <f t="shared" si="65"/>
        <v>-1.0000000000331966E-3</v>
      </c>
      <c r="R135" s="939">
        <f t="shared" si="65"/>
        <v>0</v>
      </c>
    </row>
    <row r="136" spans="3:19" x14ac:dyDescent="0.2">
      <c r="G136" s="938" t="s">
        <v>339</v>
      </c>
      <c r="H136" s="939">
        <f t="shared" ref="H136:R137" si="66">H4</f>
        <v>398.11599999999999</v>
      </c>
      <c r="I136" s="939">
        <f t="shared" si="66"/>
        <v>410.91500000000002</v>
      </c>
      <c r="J136" s="939">
        <f t="shared" si="66"/>
        <v>385.97699999999998</v>
      </c>
      <c r="K136" s="939">
        <f t="shared" si="66"/>
        <v>357.05400000000003</v>
      </c>
      <c r="L136" s="939">
        <f t="shared" si="66"/>
        <v>338.26099999999997</v>
      </c>
      <c r="M136" s="939">
        <f t="shared" si="66"/>
        <v>380.62700000000001</v>
      </c>
      <c r="N136" s="939">
        <f t="shared" si="66"/>
        <v>380.62299999999999</v>
      </c>
      <c r="O136" s="939">
        <f t="shared" si="66"/>
        <v>380.714</v>
      </c>
      <c r="P136" s="939">
        <f t="shared" si="66"/>
        <v>381.12299999999999</v>
      </c>
      <c r="Q136" s="939">
        <f t="shared" si="66"/>
        <v>380.86900000000003</v>
      </c>
      <c r="R136" s="939">
        <f t="shared" si="66"/>
        <v>380.86900000000003</v>
      </c>
    </row>
    <row r="137" spans="3:19" x14ac:dyDescent="0.2">
      <c r="G137" s="938" t="s">
        <v>340</v>
      </c>
      <c r="H137" s="939">
        <f t="shared" si="66"/>
        <v>3.9850000000000003</v>
      </c>
      <c r="I137" s="939">
        <f t="shared" si="66"/>
        <v>2.3719999999999999</v>
      </c>
      <c r="J137" s="939">
        <f t="shared" si="66"/>
        <v>2.9260000000000002</v>
      </c>
      <c r="K137" s="939">
        <f t="shared" si="66"/>
        <v>9.1820000000000004</v>
      </c>
      <c r="L137" s="939">
        <f t="shared" si="66"/>
        <v>14.745999999999999</v>
      </c>
      <c r="M137" s="939">
        <f t="shared" si="66"/>
        <v>71.469000000000008</v>
      </c>
      <c r="N137" s="939">
        <f t="shared" si="66"/>
        <v>17</v>
      </c>
      <c r="O137" s="939">
        <f t="shared" si="66"/>
        <v>28</v>
      </c>
      <c r="P137" s="939">
        <f t="shared" si="66"/>
        <v>39</v>
      </c>
      <c r="Q137" s="939">
        <f t="shared" si="66"/>
        <v>49</v>
      </c>
      <c r="R137" s="939">
        <f t="shared" si="66"/>
        <v>52</v>
      </c>
    </row>
    <row r="138" spans="3:19" x14ac:dyDescent="0.2">
      <c r="G138" s="938" t="s">
        <v>341</v>
      </c>
      <c r="H138" s="939">
        <f t="shared" ref="H138:R138" si="67">H10</f>
        <v>394.13099999999997</v>
      </c>
      <c r="I138" s="939">
        <f t="shared" si="67"/>
        <v>408.54300000000001</v>
      </c>
      <c r="J138" s="939">
        <f t="shared" si="67"/>
        <v>383.05099999999999</v>
      </c>
      <c r="K138" s="939">
        <f t="shared" si="67"/>
        <v>347.87200000000001</v>
      </c>
      <c r="L138" s="939">
        <f t="shared" si="67"/>
        <v>323.51499999999999</v>
      </c>
      <c r="M138" s="939">
        <f t="shared" si="67"/>
        <v>309.15800000000002</v>
      </c>
      <c r="N138" s="939">
        <f t="shared" si="67"/>
        <v>363.62299999999999</v>
      </c>
      <c r="O138" s="939">
        <f t="shared" si="67"/>
        <v>352.714</v>
      </c>
      <c r="P138" s="939">
        <f t="shared" si="67"/>
        <v>342.12299999999999</v>
      </c>
      <c r="Q138" s="939">
        <f t="shared" si="67"/>
        <v>331.86900000000003</v>
      </c>
      <c r="R138" s="939">
        <f t="shared" si="67"/>
        <v>328.86900000000003</v>
      </c>
    </row>
    <row r="139" spans="3:19" x14ac:dyDescent="0.2">
      <c r="G139" s="938" t="s">
        <v>342</v>
      </c>
      <c r="H139" s="939">
        <f t="shared" ref="H139:R140" si="68">H19</f>
        <v>10.050000000000001</v>
      </c>
      <c r="I139" s="939">
        <f t="shared" si="68"/>
        <v>14.765000000000001</v>
      </c>
      <c r="J139" s="939">
        <f t="shared" si="68"/>
        <v>2.617</v>
      </c>
      <c r="K139" s="939">
        <f t="shared" si="68"/>
        <v>4.6379999999999999</v>
      </c>
      <c r="L139" s="939">
        <f t="shared" si="68"/>
        <v>3.46</v>
      </c>
      <c r="M139" s="939">
        <f t="shared" si="68"/>
        <v>4.9130000000000003</v>
      </c>
      <c r="N139" s="939">
        <f t="shared" si="68"/>
        <v>5</v>
      </c>
      <c r="O139" s="939">
        <f t="shared" si="68"/>
        <v>5</v>
      </c>
      <c r="P139" s="939">
        <f t="shared" si="68"/>
        <v>5</v>
      </c>
      <c r="Q139" s="939">
        <f t="shared" si="68"/>
        <v>5</v>
      </c>
      <c r="R139" s="939">
        <f t="shared" si="68"/>
        <v>5</v>
      </c>
    </row>
    <row r="140" spans="3:19" x14ac:dyDescent="0.2">
      <c r="G140" s="938" t="s">
        <v>343</v>
      </c>
      <c r="H140" s="939">
        <f t="shared" si="68"/>
        <v>10.050000000000001</v>
      </c>
      <c r="I140" s="939">
        <f t="shared" si="68"/>
        <v>14.765000000000001</v>
      </c>
      <c r="J140" s="939">
        <f t="shared" si="68"/>
        <v>2.617</v>
      </c>
      <c r="K140" s="939">
        <f t="shared" si="68"/>
        <v>4.6379999999999999</v>
      </c>
      <c r="L140" s="939">
        <f t="shared" si="68"/>
        <v>3.46</v>
      </c>
      <c r="M140" s="939">
        <f t="shared" si="68"/>
        <v>4.9130000000000003</v>
      </c>
      <c r="N140" s="939">
        <f t="shared" si="68"/>
        <v>5</v>
      </c>
      <c r="O140" s="939">
        <f t="shared" si="68"/>
        <v>5</v>
      </c>
      <c r="P140" s="939">
        <f t="shared" si="68"/>
        <v>5</v>
      </c>
      <c r="Q140" s="939">
        <f t="shared" si="68"/>
        <v>5</v>
      </c>
      <c r="R140" s="939">
        <f t="shared" si="68"/>
        <v>5</v>
      </c>
    </row>
    <row r="141" spans="3:19" x14ac:dyDescent="0.2">
      <c r="G141" s="938" t="s">
        <v>344</v>
      </c>
      <c r="H141" s="939">
        <f t="shared" ref="H141:R141" si="69">H24</f>
        <v>0</v>
      </c>
      <c r="I141" s="939">
        <f t="shared" si="69"/>
        <v>0</v>
      </c>
      <c r="J141" s="939">
        <f t="shared" si="69"/>
        <v>0</v>
      </c>
      <c r="K141" s="939">
        <f t="shared" si="69"/>
        <v>0</v>
      </c>
      <c r="L141" s="939">
        <f t="shared" si="69"/>
        <v>0</v>
      </c>
      <c r="M141" s="939">
        <f t="shared" si="69"/>
        <v>0</v>
      </c>
      <c r="N141" s="939">
        <f t="shared" si="69"/>
        <v>0</v>
      </c>
      <c r="O141" s="939">
        <f t="shared" si="69"/>
        <v>0</v>
      </c>
      <c r="P141" s="939">
        <f t="shared" si="69"/>
        <v>0</v>
      </c>
      <c r="Q141" s="939">
        <f t="shared" si="69"/>
        <v>0</v>
      </c>
      <c r="R141" s="939">
        <f t="shared" si="69"/>
        <v>0</v>
      </c>
    </row>
    <row r="142" spans="3:19" x14ac:dyDescent="0.2">
      <c r="G142" s="938" t="s">
        <v>345</v>
      </c>
      <c r="H142" s="939">
        <f t="shared" ref="H142:R142" si="70">H27</f>
        <v>388.065</v>
      </c>
      <c r="I142" s="939">
        <f t="shared" si="70"/>
        <v>396.15000000000003</v>
      </c>
      <c r="J142" s="939">
        <f t="shared" si="70"/>
        <v>383.35999999999996</v>
      </c>
      <c r="K142" s="939">
        <f t="shared" si="70"/>
        <v>352.41700000000003</v>
      </c>
      <c r="L142" s="939">
        <f t="shared" si="70"/>
        <v>334.80199999999996</v>
      </c>
      <c r="M142" s="939">
        <f t="shared" si="70"/>
        <v>375.71300000000002</v>
      </c>
      <c r="N142" s="939">
        <f t="shared" si="70"/>
        <v>375.74799999999999</v>
      </c>
      <c r="O142" s="939">
        <f t="shared" si="70"/>
        <v>375.74799999999999</v>
      </c>
      <c r="P142" s="939">
        <f t="shared" si="70"/>
        <v>375.74799999999999</v>
      </c>
      <c r="Q142" s="939">
        <f t="shared" si="70"/>
        <v>375.74799999999999</v>
      </c>
      <c r="R142" s="939">
        <f t="shared" si="70"/>
        <v>375.74799999999999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594" priority="51" stopIfTrue="1" operator="greaterThan">
      <formula>$E$116</formula>
    </cfRule>
    <cfRule type="cellIs" dxfId="1593" priority="52" stopIfTrue="1" operator="lessThanOrEqual">
      <formula>$E$116</formula>
    </cfRule>
  </conditionalFormatting>
  <conditionalFormatting sqref="H118:Q118">
    <cfRule type="cellIs" dxfId="1592" priority="49" stopIfTrue="1" operator="lessThanOrEqual">
      <formula>$E$118</formula>
    </cfRule>
    <cfRule type="cellIs" dxfId="1591" priority="50" stopIfTrue="1" operator="greaterThan">
      <formula>$E$118</formula>
    </cfRule>
  </conditionalFormatting>
  <conditionalFormatting sqref="H99:Q99">
    <cfRule type="cellIs" dxfId="1590" priority="47" operator="greaterThan">
      <formula>$E$99</formula>
    </cfRule>
    <cfRule type="cellIs" dxfId="1589" priority="48" operator="lessThanOrEqual">
      <formula>$E$99</formula>
    </cfRule>
  </conditionalFormatting>
  <conditionalFormatting sqref="H102:Q102">
    <cfRule type="cellIs" dxfId="1588" priority="45" stopIfTrue="1" operator="greaterThanOrEqual">
      <formula>$E$102</formula>
    </cfRule>
    <cfRule type="cellIs" dxfId="1587" priority="46" stopIfTrue="1" operator="lessThan">
      <formula>$E$102</formula>
    </cfRule>
  </conditionalFormatting>
  <conditionalFormatting sqref="H104:Q104">
    <cfRule type="cellIs" dxfId="1586" priority="43" stopIfTrue="1" operator="lessThan">
      <formula>$E$104</formula>
    </cfRule>
    <cfRule type="cellIs" dxfId="1585" priority="44" stopIfTrue="1" operator="greaterThanOrEqual">
      <formula>$E$104</formula>
    </cfRule>
  </conditionalFormatting>
  <conditionalFormatting sqref="H103:Q103">
    <cfRule type="cellIs" dxfId="1584" priority="41" stopIfTrue="1" operator="greaterThan">
      <formula>$E$103</formula>
    </cfRule>
    <cfRule type="cellIs" dxfId="1583" priority="42" stopIfTrue="1" operator="lessThanOrEqual">
      <formula>$E$103</formula>
    </cfRule>
  </conditionalFormatting>
  <conditionalFormatting sqref="H100:Q100">
    <cfRule type="cellIs" dxfId="1582" priority="30" stopIfTrue="1" operator="between">
      <formula>$D$100</formula>
      <formula>$E$100</formula>
    </cfRule>
    <cfRule type="cellIs" dxfId="1581" priority="39" stopIfTrue="1" operator="lessThanOrEqual">
      <formula>$D$100</formula>
    </cfRule>
    <cfRule type="cellIs" dxfId="1580" priority="40" stopIfTrue="1" operator="greaterThan">
      <formula>$E$100</formula>
    </cfRule>
  </conditionalFormatting>
  <conditionalFormatting sqref="H117:Q117">
    <cfRule type="cellIs" dxfId="1579" priority="37" stopIfTrue="1" operator="greaterThan">
      <formula>$E$117</formula>
    </cfRule>
    <cfRule type="cellIs" dxfId="1578" priority="38" stopIfTrue="1" operator="lessThanOrEqual">
      <formula>$E$117</formula>
    </cfRule>
  </conditionalFormatting>
  <conditionalFormatting sqref="H107:Q107">
    <cfRule type="cellIs" dxfId="1577" priority="35" stopIfTrue="1" operator="greaterThan">
      <formula>$E$107</formula>
    </cfRule>
    <cfRule type="cellIs" dxfId="1576" priority="36" stopIfTrue="1" operator="lessThanOrEqual">
      <formula>$E$107</formula>
    </cfRule>
  </conditionalFormatting>
  <conditionalFormatting sqref="H108:Q108">
    <cfRule type="cellIs" dxfId="1575" priority="33" stopIfTrue="1" operator="lessThan">
      <formula>$E$108</formula>
    </cfRule>
    <cfRule type="cellIs" dxfId="1574" priority="34" stopIfTrue="1" operator="greaterThanOrEqual">
      <formula>$E$108</formula>
    </cfRule>
  </conditionalFormatting>
  <conditionalFormatting sqref="H93:Q93">
    <cfRule type="cellIs" dxfId="1573" priority="53" stopIfTrue="1" operator="lessThan">
      <formula>$D$93</formula>
    </cfRule>
    <cfRule type="cellIs" dxfId="1572" priority="54" stopIfTrue="1" operator="between">
      <formula>$D$93</formula>
      <formula>$E$93</formula>
    </cfRule>
    <cfRule type="cellIs" dxfId="1571" priority="55" stopIfTrue="1" operator="greaterThan">
      <formula>$E$93</formula>
    </cfRule>
  </conditionalFormatting>
  <conditionalFormatting sqref="H114:Q114">
    <cfRule type="cellIs" dxfId="1570" priority="56" stopIfTrue="1" operator="lessThan">
      <formula>$E$114</formula>
    </cfRule>
    <cfRule type="cellIs" dxfId="1569" priority="57" stopIfTrue="1" operator="between">
      <formula>$D$114</formula>
      <formula>$E$114</formula>
    </cfRule>
    <cfRule type="cellIs" dxfId="1568" priority="58" stopIfTrue="1" operator="greaterThanOrEqual">
      <formula>$D$114</formula>
    </cfRule>
  </conditionalFormatting>
  <conditionalFormatting sqref="H90:Q90">
    <cfRule type="cellIs" dxfId="1567" priority="31" stopIfTrue="1" operator="lessThan">
      <formula>$E$90</formula>
    </cfRule>
    <cfRule type="cellIs" dxfId="1566" priority="32" stopIfTrue="1" operator="greaterThan">
      <formula>$E$90</formula>
    </cfRule>
  </conditionalFormatting>
  <conditionalFormatting sqref="R116">
    <cfRule type="cellIs" dxfId="1565" priority="22" stopIfTrue="1" operator="greaterThan">
      <formula>$E$116</formula>
    </cfRule>
    <cfRule type="cellIs" dxfId="1564" priority="23" stopIfTrue="1" operator="lessThanOrEqual">
      <formula>$E$116</formula>
    </cfRule>
  </conditionalFormatting>
  <conditionalFormatting sqref="R118">
    <cfRule type="cellIs" dxfId="1563" priority="20" stopIfTrue="1" operator="lessThanOrEqual">
      <formula>$E$118</formula>
    </cfRule>
    <cfRule type="cellIs" dxfId="1562" priority="21" stopIfTrue="1" operator="greaterThan">
      <formula>$E$118</formula>
    </cfRule>
  </conditionalFormatting>
  <conditionalFormatting sqref="R99">
    <cfRule type="cellIs" dxfId="1561" priority="18" operator="greaterThan">
      <formula>$E$99</formula>
    </cfRule>
    <cfRule type="cellIs" dxfId="1560" priority="19" operator="lessThanOrEqual">
      <formula>$E$99</formula>
    </cfRule>
  </conditionalFormatting>
  <conditionalFormatting sqref="R102">
    <cfRule type="cellIs" dxfId="1559" priority="16" stopIfTrue="1" operator="greaterThanOrEqual">
      <formula>$E$102</formula>
    </cfRule>
    <cfRule type="cellIs" dxfId="1558" priority="17" stopIfTrue="1" operator="lessThan">
      <formula>$E$102</formula>
    </cfRule>
  </conditionalFormatting>
  <conditionalFormatting sqref="R104">
    <cfRule type="cellIs" dxfId="1557" priority="14" stopIfTrue="1" operator="lessThan">
      <formula>$E$104</formula>
    </cfRule>
    <cfRule type="cellIs" dxfId="1556" priority="15" stopIfTrue="1" operator="greaterThanOrEqual">
      <formula>$E$104</formula>
    </cfRule>
  </conditionalFormatting>
  <conditionalFormatting sqref="R103">
    <cfRule type="cellIs" dxfId="1555" priority="12" stopIfTrue="1" operator="greaterThan">
      <formula>$E$103</formula>
    </cfRule>
    <cfRule type="cellIs" dxfId="1554" priority="13" stopIfTrue="1" operator="lessThanOrEqual">
      <formula>$E$103</formula>
    </cfRule>
  </conditionalFormatting>
  <conditionalFormatting sqref="R100">
    <cfRule type="cellIs" dxfId="1553" priority="1" stopIfTrue="1" operator="between">
      <formula>$D$100</formula>
      <formula>$E$100</formula>
    </cfRule>
    <cfRule type="cellIs" dxfId="1552" priority="10" stopIfTrue="1" operator="lessThanOrEqual">
      <formula>$D$100</formula>
    </cfRule>
    <cfRule type="cellIs" dxfId="1551" priority="11" stopIfTrue="1" operator="greaterThan">
      <formula>$E$100</formula>
    </cfRule>
  </conditionalFormatting>
  <conditionalFormatting sqref="R117">
    <cfRule type="cellIs" dxfId="1550" priority="8" stopIfTrue="1" operator="greaterThan">
      <formula>$E$117</formula>
    </cfRule>
    <cfRule type="cellIs" dxfId="1549" priority="9" stopIfTrue="1" operator="lessThanOrEqual">
      <formula>$E$117</formula>
    </cfRule>
  </conditionalFormatting>
  <conditionalFormatting sqref="R107">
    <cfRule type="cellIs" dxfId="1548" priority="6" stopIfTrue="1" operator="greaterThan">
      <formula>$E$107</formula>
    </cfRule>
    <cfRule type="cellIs" dxfId="1547" priority="7" stopIfTrue="1" operator="lessThanOrEqual">
      <formula>$E$107</formula>
    </cfRule>
  </conditionalFormatting>
  <conditionalFormatting sqref="R108">
    <cfRule type="cellIs" dxfId="1546" priority="4" stopIfTrue="1" operator="lessThan">
      <formula>$E$108</formula>
    </cfRule>
    <cfRule type="cellIs" dxfId="1545" priority="5" stopIfTrue="1" operator="greaterThanOrEqual">
      <formula>$E$108</formula>
    </cfRule>
  </conditionalFormatting>
  <conditionalFormatting sqref="R93">
    <cfRule type="cellIs" dxfId="1544" priority="24" stopIfTrue="1" operator="lessThan">
      <formula>$D$93</formula>
    </cfRule>
    <cfRule type="cellIs" dxfId="1543" priority="25" stopIfTrue="1" operator="between">
      <formula>$D$93</formula>
      <formula>$E$93</formula>
    </cfRule>
    <cfRule type="cellIs" dxfId="1542" priority="26" stopIfTrue="1" operator="greaterThan">
      <formula>$E$93</formula>
    </cfRule>
  </conditionalFormatting>
  <conditionalFormatting sqref="R114">
    <cfRule type="cellIs" dxfId="1541" priority="27" stopIfTrue="1" operator="lessThan">
      <formula>$E$114</formula>
    </cfRule>
    <cfRule type="cellIs" dxfId="1540" priority="28" stopIfTrue="1" operator="between">
      <formula>$D$114</formula>
      <formula>$E$114</formula>
    </cfRule>
    <cfRule type="cellIs" dxfId="1539" priority="29" stopIfTrue="1" operator="greaterThanOrEqual">
      <formula>$D$114</formula>
    </cfRule>
  </conditionalFormatting>
  <conditionalFormatting sqref="R90">
    <cfRule type="cellIs" dxfId="1538" priority="2" stopIfTrue="1" operator="lessThan">
      <formula>$E$90</formula>
    </cfRule>
    <cfRule type="cellIs" dxfId="1537" priority="3" stopIfTrue="1" operator="greaterThan">
      <formula>$E$90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workbookViewId="0">
      <pane xSplit="7" ySplit="3" topLeftCell="H4" activePane="bottomRight" state="frozen"/>
      <selection pane="topRight" activeCell="H1" sqref="H1"/>
      <selection pane="bottomLeft" activeCell="A13" sqref="A13"/>
      <selection pane="bottomRight" activeCell="G2" sqref="G2"/>
    </sheetView>
  </sheetViews>
  <sheetFormatPr defaultRowHeight="11.25" x14ac:dyDescent="0.2"/>
  <cols>
    <col min="1" max="1" width="0" style="103" hidden="1" customWidth="1"/>
    <col min="2" max="2" width="0" style="89" hidden="1" customWidth="1"/>
    <col min="3" max="4" width="0" style="106" hidden="1" customWidth="1"/>
    <col min="5" max="5" width="0" style="104" hidden="1" customWidth="1"/>
    <col min="6" max="6" width="0" style="103" hidden="1" customWidth="1"/>
    <col min="7" max="7" width="30.42578125" style="142" customWidth="1"/>
    <col min="8" max="8" width="11.5703125" style="91" customWidth="1"/>
    <col min="9" max="18" width="8.7109375" style="91" customWidth="1"/>
    <col min="19" max="256" width="9.140625" style="91"/>
    <col min="257" max="262" width="0" style="91" hidden="1" customWidth="1"/>
    <col min="263" max="263" width="30.42578125" style="91" customWidth="1"/>
    <col min="264" max="264" width="11.5703125" style="91" customWidth="1"/>
    <col min="265" max="274" width="8.7109375" style="91" customWidth="1"/>
    <col min="275" max="512" width="9.140625" style="91"/>
    <col min="513" max="518" width="0" style="91" hidden="1" customWidth="1"/>
    <col min="519" max="519" width="30.42578125" style="91" customWidth="1"/>
    <col min="520" max="520" width="11.5703125" style="91" customWidth="1"/>
    <col min="521" max="530" width="8.7109375" style="91" customWidth="1"/>
    <col min="531" max="768" width="9.140625" style="91"/>
    <col min="769" max="774" width="0" style="91" hidden="1" customWidth="1"/>
    <col min="775" max="775" width="30.42578125" style="91" customWidth="1"/>
    <col min="776" max="776" width="11.5703125" style="91" customWidth="1"/>
    <col min="777" max="786" width="8.7109375" style="91" customWidth="1"/>
    <col min="787" max="1024" width="9.140625" style="91"/>
    <col min="1025" max="1030" width="0" style="91" hidden="1" customWidth="1"/>
    <col min="1031" max="1031" width="30.42578125" style="91" customWidth="1"/>
    <col min="1032" max="1032" width="11.5703125" style="91" customWidth="1"/>
    <col min="1033" max="1042" width="8.7109375" style="91" customWidth="1"/>
    <col min="1043" max="1280" width="9.140625" style="91"/>
    <col min="1281" max="1286" width="0" style="91" hidden="1" customWidth="1"/>
    <col min="1287" max="1287" width="30.42578125" style="91" customWidth="1"/>
    <col min="1288" max="1288" width="11.5703125" style="91" customWidth="1"/>
    <col min="1289" max="1298" width="8.7109375" style="91" customWidth="1"/>
    <col min="1299" max="1536" width="9.140625" style="91"/>
    <col min="1537" max="1542" width="0" style="91" hidden="1" customWidth="1"/>
    <col min="1543" max="1543" width="30.42578125" style="91" customWidth="1"/>
    <col min="1544" max="1544" width="11.5703125" style="91" customWidth="1"/>
    <col min="1545" max="1554" width="8.7109375" style="91" customWidth="1"/>
    <col min="1555" max="1792" width="9.140625" style="91"/>
    <col min="1793" max="1798" width="0" style="91" hidden="1" customWidth="1"/>
    <col min="1799" max="1799" width="30.42578125" style="91" customWidth="1"/>
    <col min="1800" max="1800" width="11.5703125" style="91" customWidth="1"/>
    <col min="1801" max="1810" width="8.7109375" style="91" customWidth="1"/>
    <col min="1811" max="2048" width="9.140625" style="91"/>
    <col min="2049" max="2054" width="0" style="91" hidden="1" customWidth="1"/>
    <col min="2055" max="2055" width="30.42578125" style="91" customWidth="1"/>
    <col min="2056" max="2056" width="11.5703125" style="91" customWidth="1"/>
    <col min="2057" max="2066" width="8.7109375" style="91" customWidth="1"/>
    <col min="2067" max="2304" width="9.140625" style="91"/>
    <col min="2305" max="2310" width="0" style="91" hidden="1" customWidth="1"/>
    <col min="2311" max="2311" width="30.42578125" style="91" customWidth="1"/>
    <col min="2312" max="2312" width="11.5703125" style="91" customWidth="1"/>
    <col min="2313" max="2322" width="8.7109375" style="91" customWidth="1"/>
    <col min="2323" max="2560" width="9.140625" style="91"/>
    <col min="2561" max="2566" width="0" style="91" hidden="1" customWidth="1"/>
    <col min="2567" max="2567" width="30.42578125" style="91" customWidth="1"/>
    <col min="2568" max="2568" width="11.5703125" style="91" customWidth="1"/>
    <col min="2569" max="2578" width="8.7109375" style="91" customWidth="1"/>
    <col min="2579" max="2816" width="9.140625" style="91"/>
    <col min="2817" max="2822" width="0" style="91" hidden="1" customWidth="1"/>
    <col min="2823" max="2823" width="30.42578125" style="91" customWidth="1"/>
    <col min="2824" max="2824" width="11.5703125" style="91" customWidth="1"/>
    <col min="2825" max="2834" width="8.7109375" style="91" customWidth="1"/>
    <col min="2835" max="3072" width="9.140625" style="91"/>
    <col min="3073" max="3078" width="0" style="91" hidden="1" customWidth="1"/>
    <col min="3079" max="3079" width="30.42578125" style="91" customWidth="1"/>
    <col min="3080" max="3080" width="11.5703125" style="91" customWidth="1"/>
    <col min="3081" max="3090" width="8.7109375" style="91" customWidth="1"/>
    <col min="3091" max="3328" width="9.140625" style="91"/>
    <col min="3329" max="3334" width="0" style="91" hidden="1" customWidth="1"/>
    <col min="3335" max="3335" width="30.42578125" style="91" customWidth="1"/>
    <col min="3336" max="3336" width="11.5703125" style="91" customWidth="1"/>
    <col min="3337" max="3346" width="8.7109375" style="91" customWidth="1"/>
    <col min="3347" max="3584" width="9.140625" style="91"/>
    <col min="3585" max="3590" width="0" style="91" hidden="1" customWidth="1"/>
    <col min="3591" max="3591" width="30.42578125" style="91" customWidth="1"/>
    <col min="3592" max="3592" width="11.5703125" style="91" customWidth="1"/>
    <col min="3593" max="3602" width="8.7109375" style="91" customWidth="1"/>
    <col min="3603" max="3840" width="9.140625" style="91"/>
    <col min="3841" max="3846" width="0" style="91" hidden="1" customWidth="1"/>
    <col min="3847" max="3847" width="30.42578125" style="91" customWidth="1"/>
    <col min="3848" max="3848" width="11.5703125" style="91" customWidth="1"/>
    <col min="3849" max="3858" width="8.7109375" style="91" customWidth="1"/>
    <col min="3859" max="4096" width="9.140625" style="91"/>
    <col min="4097" max="4102" width="0" style="91" hidden="1" customWidth="1"/>
    <col min="4103" max="4103" width="30.42578125" style="91" customWidth="1"/>
    <col min="4104" max="4104" width="11.5703125" style="91" customWidth="1"/>
    <col min="4105" max="4114" width="8.7109375" style="91" customWidth="1"/>
    <col min="4115" max="4352" width="9.140625" style="91"/>
    <col min="4353" max="4358" width="0" style="91" hidden="1" customWidth="1"/>
    <col min="4359" max="4359" width="30.42578125" style="91" customWidth="1"/>
    <col min="4360" max="4360" width="11.5703125" style="91" customWidth="1"/>
    <col min="4361" max="4370" width="8.7109375" style="91" customWidth="1"/>
    <col min="4371" max="4608" width="9.140625" style="91"/>
    <col min="4609" max="4614" width="0" style="91" hidden="1" customWidth="1"/>
    <col min="4615" max="4615" width="30.42578125" style="91" customWidth="1"/>
    <col min="4616" max="4616" width="11.5703125" style="91" customWidth="1"/>
    <col min="4617" max="4626" width="8.7109375" style="91" customWidth="1"/>
    <col min="4627" max="4864" width="9.140625" style="91"/>
    <col min="4865" max="4870" width="0" style="91" hidden="1" customWidth="1"/>
    <col min="4871" max="4871" width="30.42578125" style="91" customWidth="1"/>
    <col min="4872" max="4872" width="11.5703125" style="91" customWidth="1"/>
    <col min="4873" max="4882" width="8.7109375" style="91" customWidth="1"/>
    <col min="4883" max="5120" width="9.140625" style="91"/>
    <col min="5121" max="5126" width="0" style="91" hidden="1" customWidth="1"/>
    <col min="5127" max="5127" width="30.42578125" style="91" customWidth="1"/>
    <col min="5128" max="5128" width="11.5703125" style="91" customWidth="1"/>
    <col min="5129" max="5138" width="8.7109375" style="91" customWidth="1"/>
    <col min="5139" max="5376" width="9.140625" style="91"/>
    <col min="5377" max="5382" width="0" style="91" hidden="1" customWidth="1"/>
    <col min="5383" max="5383" width="30.42578125" style="91" customWidth="1"/>
    <col min="5384" max="5384" width="11.5703125" style="91" customWidth="1"/>
    <col min="5385" max="5394" width="8.7109375" style="91" customWidth="1"/>
    <col min="5395" max="5632" width="9.140625" style="91"/>
    <col min="5633" max="5638" width="0" style="91" hidden="1" customWidth="1"/>
    <col min="5639" max="5639" width="30.42578125" style="91" customWidth="1"/>
    <col min="5640" max="5640" width="11.5703125" style="91" customWidth="1"/>
    <col min="5641" max="5650" width="8.7109375" style="91" customWidth="1"/>
    <col min="5651" max="5888" width="9.140625" style="91"/>
    <col min="5889" max="5894" width="0" style="91" hidden="1" customWidth="1"/>
    <col min="5895" max="5895" width="30.42578125" style="91" customWidth="1"/>
    <col min="5896" max="5896" width="11.5703125" style="91" customWidth="1"/>
    <col min="5897" max="5906" width="8.7109375" style="91" customWidth="1"/>
    <col min="5907" max="6144" width="9.140625" style="91"/>
    <col min="6145" max="6150" width="0" style="91" hidden="1" customWidth="1"/>
    <col min="6151" max="6151" width="30.42578125" style="91" customWidth="1"/>
    <col min="6152" max="6152" width="11.5703125" style="91" customWidth="1"/>
    <col min="6153" max="6162" width="8.7109375" style="91" customWidth="1"/>
    <col min="6163" max="6400" width="9.140625" style="91"/>
    <col min="6401" max="6406" width="0" style="91" hidden="1" customWidth="1"/>
    <col min="6407" max="6407" width="30.42578125" style="91" customWidth="1"/>
    <col min="6408" max="6408" width="11.5703125" style="91" customWidth="1"/>
    <col min="6409" max="6418" width="8.7109375" style="91" customWidth="1"/>
    <col min="6419" max="6656" width="9.140625" style="91"/>
    <col min="6657" max="6662" width="0" style="91" hidden="1" customWidth="1"/>
    <col min="6663" max="6663" width="30.42578125" style="91" customWidth="1"/>
    <col min="6664" max="6664" width="11.5703125" style="91" customWidth="1"/>
    <col min="6665" max="6674" width="8.7109375" style="91" customWidth="1"/>
    <col min="6675" max="6912" width="9.140625" style="91"/>
    <col min="6913" max="6918" width="0" style="91" hidden="1" customWidth="1"/>
    <col min="6919" max="6919" width="30.42578125" style="91" customWidth="1"/>
    <col min="6920" max="6920" width="11.5703125" style="91" customWidth="1"/>
    <col min="6921" max="6930" width="8.7109375" style="91" customWidth="1"/>
    <col min="6931" max="7168" width="9.140625" style="91"/>
    <col min="7169" max="7174" width="0" style="91" hidden="1" customWidth="1"/>
    <col min="7175" max="7175" width="30.42578125" style="91" customWidth="1"/>
    <col min="7176" max="7176" width="11.5703125" style="91" customWidth="1"/>
    <col min="7177" max="7186" width="8.7109375" style="91" customWidth="1"/>
    <col min="7187" max="7424" width="9.140625" style="91"/>
    <col min="7425" max="7430" width="0" style="91" hidden="1" customWidth="1"/>
    <col min="7431" max="7431" width="30.42578125" style="91" customWidth="1"/>
    <col min="7432" max="7432" width="11.5703125" style="91" customWidth="1"/>
    <col min="7433" max="7442" width="8.7109375" style="91" customWidth="1"/>
    <col min="7443" max="7680" width="9.140625" style="91"/>
    <col min="7681" max="7686" width="0" style="91" hidden="1" customWidth="1"/>
    <col min="7687" max="7687" width="30.42578125" style="91" customWidth="1"/>
    <col min="7688" max="7688" width="11.5703125" style="91" customWidth="1"/>
    <col min="7689" max="7698" width="8.7109375" style="91" customWidth="1"/>
    <col min="7699" max="7936" width="9.140625" style="91"/>
    <col min="7937" max="7942" width="0" style="91" hidden="1" customWidth="1"/>
    <col min="7943" max="7943" width="30.42578125" style="91" customWidth="1"/>
    <col min="7944" max="7944" width="11.5703125" style="91" customWidth="1"/>
    <col min="7945" max="7954" width="8.7109375" style="91" customWidth="1"/>
    <col min="7955" max="8192" width="9.140625" style="91"/>
    <col min="8193" max="8198" width="0" style="91" hidden="1" customWidth="1"/>
    <col min="8199" max="8199" width="30.42578125" style="91" customWidth="1"/>
    <col min="8200" max="8200" width="11.5703125" style="91" customWidth="1"/>
    <col min="8201" max="8210" width="8.7109375" style="91" customWidth="1"/>
    <col min="8211" max="8448" width="9.140625" style="91"/>
    <col min="8449" max="8454" width="0" style="91" hidden="1" customWidth="1"/>
    <col min="8455" max="8455" width="30.42578125" style="91" customWidth="1"/>
    <col min="8456" max="8456" width="11.5703125" style="91" customWidth="1"/>
    <col min="8457" max="8466" width="8.7109375" style="91" customWidth="1"/>
    <col min="8467" max="8704" width="9.140625" style="91"/>
    <col min="8705" max="8710" width="0" style="91" hidden="1" customWidth="1"/>
    <col min="8711" max="8711" width="30.42578125" style="91" customWidth="1"/>
    <col min="8712" max="8712" width="11.5703125" style="91" customWidth="1"/>
    <col min="8713" max="8722" width="8.7109375" style="91" customWidth="1"/>
    <col min="8723" max="8960" width="9.140625" style="91"/>
    <col min="8961" max="8966" width="0" style="91" hidden="1" customWidth="1"/>
    <col min="8967" max="8967" width="30.42578125" style="91" customWidth="1"/>
    <col min="8968" max="8968" width="11.5703125" style="91" customWidth="1"/>
    <col min="8969" max="8978" width="8.7109375" style="91" customWidth="1"/>
    <col min="8979" max="9216" width="9.140625" style="91"/>
    <col min="9217" max="9222" width="0" style="91" hidden="1" customWidth="1"/>
    <col min="9223" max="9223" width="30.42578125" style="91" customWidth="1"/>
    <col min="9224" max="9224" width="11.5703125" style="91" customWidth="1"/>
    <col min="9225" max="9234" width="8.7109375" style="91" customWidth="1"/>
    <col min="9235" max="9472" width="9.140625" style="91"/>
    <col min="9473" max="9478" width="0" style="91" hidden="1" customWidth="1"/>
    <col min="9479" max="9479" width="30.42578125" style="91" customWidth="1"/>
    <col min="9480" max="9480" width="11.5703125" style="91" customWidth="1"/>
    <col min="9481" max="9490" width="8.7109375" style="91" customWidth="1"/>
    <col min="9491" max="9728" width="9.140625" style="91"/>
    <col min="9729" max="9734" width="0" style="91" hidden="1" customWidth="1"/>
    <col min="9735" max="9735" width="30.42578125" style="91" customWidth="1"/>
    <col min="9736" max="9736" width="11.5703125" style="91" customWidth="1"/>
    <col min="9737" max="9746" width="8.7109375" style="91" customWidth="1"/>
    <col min="9747" max="9984" width="9.140625" style="91"/>
    <col min="9985" max="9990" width="0" style="91" hidden="1" customWidth="1"/>
    <col min="9991" max="9991" width="30.42578125" style="91" customWidth="1"/>
    <col min="9992" max="9992" width="11.5703125" style="91" customWidth="1"/>
    <col min="9993" max="10002" width="8.7109375" style="91" customWidth="1"/>
    <col min="10003" max="10240" width="9.140625" style="91"/>
    <col min="10241" max="10246" width="0" style="91" hidden="1" customWidth="1"/>
    <col min="10247" max="10247" width="30.42578125" style="91" customWidth="1"/>
    <col min="10248" max="10248" width="11.5703125" style="91" customWidth="1"/>
    <col min="10249" max="10258" width="8.7109375" style="91" customWidth="1"/>
    <col min="10259" max="10496" width="9.140625" style="91"/>
    <col min="10497" max="10502" width="0" style="91" hidden="1" customWidth="1"/>
    <col min="10503" max="10503" width="30.42578125" style="91" customWidth="1"/>
    <col min="10504" max="10504" width="11.5703125" style="91" customWidth="1"/>
    <col min="10505" max="10514" width="8.7109375" style="91" customWidth="1"/>
    <col min="10515" max="10752" width="9.140625" style="91"/>
    <col min="10753" max="10758" width="0" style="91" hidden="1" customWidth="1"/>
    <col min="10759" max="10759" width="30.42578125" style="91" customWidth="1"/>
    <col min="10760" max="10760" width="11.5703125" style="91" customWidth="1"/>
    <col min="10761" max="10770" width="8.7109375" style="91" customWidth="1"/>
    <col min="10771" max="11008" width="9.140625" style="91"/>
    <col min="11009" max="11014" width="0" style="91" hidden="1" customWidth="1"/>
    <col min="11015" max="11015" width="30.42578125" style="91" customWidth="1"/>
    <col min="11016" max="11016" width="11.5703125" style="91" customWidth="1"/>
    <col min="11017" max="11026" width="8.7109375" style="91" customWidth="1"/>
    <col min="11027" max="11264" width="9.140625" style="91"/>
    <col min="11265" max="11270" width="0" style="91" hidden="1" customWidth="1"/>
    <col min="11271" max="11271" width="30.42578125" style="91" customWidth="1"/>
    <col min="11272" max="11272" width="11.5703125" style="91" customWidth="1"/>
    <col min="11273" max="11282" width="8.7109375" style="91" customWidth="1"/>
    <col min="11283" max="11520" width="9.140625" style="91"/>
    <col min="11521" max="11526" width="0" style="91" hidden="1" customWidth="1"/>
    <col min="11527" max="11527" width="30.42578125" style="91" customWidth="1"/>
    <col min="11528" max="11528" width="11.5703125" style="91" customWidth="1"/>
    <col min="11529" max="11538" width="8.7109375" style="91" customWidth="1"/>
    <col min="11539" max="11776" width="9.140625" style="91"/>
    <col min="11777" max="11782" width="0" style="91" hidden="1" customWidth="1"/>
    <col min="11783" max="11783" width="30.42578125" style="91" customWidth="1"/>
    <col min="11784" max="11784" width="11.5703125" style="91" customWidth="1"/>
    <col min="11785" max="11794" width="8.7109375" style="91" customWidth="1"/>
    <col min="11795" max="12032" width="9.140625" style="91"/>
    <col min="12033" max="12038" width="0" style="91" hidden="1" customWidth="1"/>
    <col min="12039" max="12039" width="30.42578125" style="91" customWidth="1"/>
    <col min="12040" max="12040" width="11.5703125" style="91" customWidth="1"/>
    <col min="12041" max="12050" width="8.7109375" style="91" customWidth="1"/>
    <col min="12051" max="12288" width="9.140625" style="91"/>
    <col min="12289" max="12294" width="0" style="91" hidden="1" customWidth="1"/>
    <col min="12295" max="12295" width="30.42578125" style="91" customWidth="1"/>
    <col min="12296" max="12296" width="11.5703125" style="91" customWidth="1"/>
    <col min="12297" max="12306" width="8.7109375" style="91" customWidth="1"/>
    <col min="12307" max="12544" width="9.140625" style="91"/>
    <col min="12545" max="12550" width="0" style="91" hidden="1" customWidth="1"/>
    <col min="12551" max="12551" width="30.42578125" style="91" customWidth="1"/>
    <col min="12552" max="12552" width="11.5703125" style="91" customWidth="1"/>
    <col min="12553" max="12562" width="8.7109375" style="91" customWidth="1"/>
    <col min="12563" max="12800" width="9.140625" style="91"/>
    <col min="12801" max="12806" width="0" style="91" hidden="1" customWidth="1"/>
    <col min="12807" max="12807" width="30.42578125" style="91" customWidth="1"/>
    <col min="12808" max="12808" width="11.5703125" style="91" customWidth="1"/>
    <col min="12809" max="12818" width="8.7109375" style="91" customWidth="1"/>
    <col min="12819" max="13056" width="9.140625" style="91"/>
    <col min="13057" max="13062" width="0" style="91" hidden="1" customWidth="1"/>
    <col min="13063" max="13063" width="30.42578125" style="91" customWidth="1"/>
    <col min="13064" max="13064" width="11.5703125" style="91" customWidth="1"/>
    <col min="13065" max="13074" width="8.7109375" style="91" customWidth="1"/>
    <col min="13075" max="13312" width="9.140625" style="91"/>
    <col min="13313" max="13318" width="0" style="91" hidden="1" customWidth="1"/>
    <col min="13319" max="13319" width="30.42578125" style="91" customWidth="1"/>
    <col min="13320" max="13320" width="11.5703125" style="91" customWidth="1"/>
    <col min="13321" max="13330" width="8.7109375" style="91" customWidth="1"/>
    <col min="13331" max="13568" width="9.140625" style="91"/>
    <col min="13569" max="13574" width="0" style="91" hidden="1" customWidth="1"/>
    <col min="13575" max="13575" width="30.42578125" style="91" customWidth="1"/>
    <col min="13576" max="13576" width="11.5703125" style="91" customWidth="1"/>
    <col min="13577" max="13586" width="8.7109375" style="91" customWidth="1"/>
    <col min="13587" max="13824" width="9.140625" style="91"/>
    <col min="13825" max="13830" width="0" style="91" hidden="1" customWidth="1"/>
    <col min="13831" max="13831" width="30.42578125" style="91" customWidth="1"/>
    <col min="13832" max="13832" width="11.5703125" style="91" customWidth="1"/>
    <col min="13833" max="13842" width="8.7109375" style="91" customWidth="1"/>
    <col min="13843" max="14080" width="9.140625" style="91"/>
    <col min="14081" max="14086" width="0" style="91" hidden="1" customWidth="1"/>
    <col min="14087" max="14087" width="30.42578125" style="91" customWidth="1"/>
    <col min="14088" max="14088" width="11.5703125" style="91" customWidth="1"/>
    <col min="14089" max="14098" width="8.7109375" style="91" customWidth="1"/>
    <col min="14099" max="14336" width="9.140625" style="91"/>
    <col min="14337" max="14342" width="0" style="91" hidden="1" customWidth="1"/>
    <col min="14343" max="14343" width="30.42578125" style="91" customWidth="1"/>
    <col min="14344" max="14344" width="11.5703125" style="91" customWidth="1"/>
    <col min="14345" max="14354" width="8.7109375" style="91" customWidth="1"/>
    <col min="14355" max="14592" width="9.140625" style="91"/>
    <col min="14593" max="14598" width="0" style="91" hidden="1" customWidth="1"/>
    <col min="14599" max="14599" width="30.42578125" style="91" customWidth="1"/>
    <col min="14600" max="14600" width="11.5703125" style="91" customWidth="1"/>
    <col min="14601" max="14610" width="8.7109375" style="91" customWidth="1"/>
    <col min="14611" max="14848" width="9.140625" style="91"/>
    <col min="14849" max="14854" width="0" style="91" hidden="1" customWidth="1"/>
    <col min="14855" max="14855" width="30.42578125" style="91" customWidth="1"/>
    <col min="14856" max="14856" width="11.5703125" style="91" customWidth="1"/>
    <col min="14857" max="14866" width="8.7109375" style="91" customWidth="1"/>
    <col min="14867" max="15104" width="9.140625" style="91"/>
    <col min="15105" max="15110" width="0" style="91" hidden="1" customWidth="1"/>
    <col min="15111" max="15111" width="30.42578125" style="91" customWidth="1"/>
    <col min="15112" max="15112" width="11.5703125" style="91" customWidth="1"/>
    <col min="15113" max="15122" width="8.7109375" style="91" customWidth="1"/>
    <col min="15123" max="15360" width="9.140625" style="91"/>
    <col min="15361" max="15366" width="0" style="91" hidden="1" customWidth="1"/>
    <col min="15367" max="15367" width="30.42578125" style="91" customWidth="1"/>
    <col min="15368" max="15368" width="11.5703125" style="91" customWidth="1"/>
    <col min="15369" max="15378" width="8.7109375" style="91" customWidth="1"/>
    <col min="15379" max="15616" width="9.140625" style="91"/>
    <col min="15617" max="15622" width="0" style="91" hidden="1" customWidth="1"/>
    <col min="15623" max="15623" width="30.42578125" style="91" customWidth="1"/>
    <col min="15624" max="15624" width="11.5703125" style="91" customWidth="1"/>
    <col min="15625" max="15634" width="8.7109375" style="91" customWidth="1"/>
    <col min="15635" max="15872" width="9.140625" style="91"/>
    <col min="15873" max="15878" width="0" style="91" hidden="1" customWidth="1"/>
    <col min="15879" max="15879" width="30.42578125" style="91" customWidth="1"/>
    <col min="15880" max="15880" width="11.5703125" style="91" customWidth="1"/>
    <col min="15881" max="15890" width="8.7109375" style="91" customWidth="1"/>
    <col min="15891" max="16128" width="9.140625" style="91"/>
    <col min="16129" max="16134" width="0" style="91" hidden="1" customWidth="1"/>
    <col min="16135" max="16135" width="30.42578125" style="91" customWidth="1"/>
    <col min="16136" max="16136" width="11.5703125" style="91" customWidth="1"/>
    <col min="16137" max="16146" width="8.7109375" style="91" customWidth="1"/>
    <col min="16147" max="16384" width="9.140625" style="91"/>
  </cols>
  <sheetData>
    <row r="1" spans="1:18" x14ac:dyDescent="0.2">
      <c r="A1" s="88"/>
      <c r="C1" s="90"/>
      <c r="D1" s="90"/>
      <c r="E1" s="88"/>
      <c r="F1" s="88"/>
      <c r="G1" s="91"/>
    </row>
    <row r="2" spans="1:18" x14ac:dyDescent="0.2">
      <c r="A2" s="90" t="s">
        <v>0</v>
      </c>
      <c r="B2" s="92" t="s">
        <v>1</v>
      </c>
      <c r="C2" s="90" t="s">
        <v>2</v>
      </c>
      <c r="D2" s="90"/>
      <c r="E2" s="88" t="s">
        <v>3</v>
      </c>
      <c r="F2" s="88"/>
      <c r="G2" s="93" t="s">
        <v>427</v>
      </c>
      <c r="H2" s="94" t="s">
        <v>428</v>
      </c>
      <c r="I2" s="95"/>
      <c r="J2" s="96"/>
      <c r="K2" s="1187" t="s">
        <v>6</v>
      </c>
      <c r="L2" s="1187"/>
      <c r="M2" s="1188"/>
      <c r="N2" s="1188"/>
      <c r="O2" s="1188"/>
      <c r="P2" s="1188"/>
      <c r="Q2" s="1188"/>
      <c r="R2" s="1188"/>
    </row>
    <row r="3" spans="1:18" x14ac:dyDescent="0.2">
      <c r="A3" s="88"/>
      <c r="B3" s="97"/>
      <c r="C3" s="90"/>
      <c r="D3" s="90"/>
      <c r="E3" s="88"/>
      <c r="F3" s="88"/>
      <c r="G3" s="98" t="s">
        <v>7</v>
      </c>
      <c r="H3" s="99">
        <v>40908</v>
      </c>
      <c r="I3" s="99">
        <v>41274</v>
      </c>
      <c r="J3" s="99">
        <v>41639</v>
      </c>
      <c r="K3" s="99">
        <v>42004</v>
      </c>
      <c r="L3" s="99">
        <v>42369</v>
      </c>
      <c r="M3" s="99">
        <v>42735</v>
      </c>
      <c r="N3" s="99">
        <v>43100</v>
      </c>
      <c r="O3" s="99">
        <v>43465</v>
      </c>
      <c r="P3" s="99">
        <v>43830</v>
      </c>
      <c r="Q3" s="99">
        <v>44196</v>
      </c>
      <c r="R3" s="99">
        <v>44561</v>
      </c>
    </row>
    <row r="4" spans="1:18" x14ac:dyDescent="0.2">
      <c r="A4" s="100"/>
      <c r="B4" s="89" t="s">
        <v>8</v>
      </c>
      <c r="C4" s="90">
        <v>1</v>
      </c>
      <c r="D4" s="90"/>
      <c r="E4" s="92"/>
      <c r="F4" s="100"/>
      <c r="G4" s="101" t="s">
        <v>9</v>
      </c>
      <c r="H4" s="102">
        <f t="shared" ref="H4:R4" si="0">H5+H10</f>
        <v>14238.465</v>
      </c>
      <c r="I4" s="102">
        <f t="shared" si="0"/>
        <v>12892.317999999999</v>
      </c>
      <c r="J4" s="102">
        <f t="shared" si="0"/>
        <v>11297.477999999999</v>
      </c>
      <c r="K4" s="102">
        <f t="shared" si="0"/>
        <v>9898.8869999999988</v>
      </c>
      <c r="L4" s="102">
        <f t="shared" si="0"/>
        <v>8906.2870000000003</v>
      </c>
      <c r="M4" s="102">
        <f t="shared" si="0"/>
        <v>8059</v>
      </c>
      <c r="N4" s="102">
        <f t="shared" si="0"/>
        <v>7318</v>
      </c>
      <c r="O4" s="102">
        <f t="shared" si="0"/>
        <v>6776</v>
      </c>
      <c r="P4" s="102">
        <f t="shared" si="0"/>
        <v>6208</v>
      </c>
      <c r="Q4" s="102">
        <f t="shared" si="0"/>
        <v>5664</v>
      </c>
      <c r="R4" s="102">
        <f t="shared" si="0"/>
        <v>5737</v>
      </c>
    </row>
    <row r="5" spans="1:18" x14ac:dyDescent="0.2">
      <c r="B5" s="89" t="s">
        <v>10</v>
      </c>
      <c r="C5" s="90">
        <v>10</v>
      </c>
      <c r="D5" s="90"/>
      <c r="G5" s="105" t="s">
        <v>11</v>
      </c>
      <c r="H5" s="102">
        <f t="shared" ref="H5:R5" si="1">SUM(H6:H9)</f>
        <v>1873.8679999999999</v>
      </c>
      <c r="I5" s="102">
        <f t="shared" si="1"/>
        <v>1951.2109999999998</v>
      </c>
      <c r="J5" s="102">
        <f t="shared" si="1"/>
        <v>1943.2570000000001</v>
      </c>
      <c r="K5" s="102">
        <f t="shared" si="1"/>
        <v>1587.9170000000001</v>
      </c>
      <c r="L5" s="102">
        <f t="shared" si="1"/>
        <v>1444.528</v>
      </c>
      <c r="M5" s="102">
        <f t="shared" si="1"/>
        <v>1041</v>
      </c>
      <c r="N5" s="102">
        <f t="shared" si="1"/>
        <v>745</v>
      </c>
      <c r="O5" s="102">
        <f t="shared" si="1"/>
        <v>645</v>
      </c>
      <c r="P5" s="102">
        <f t="shared" si="1"/>
        <v>545</v>
      </c>
      <c r="Q5" s="102">
        <f t="shared" si="1"/>
        <v>545</v>
      </c>
      <c r="R5" s="102">
        <f t="shared" si="1"/>
        <v>545</v>
      </c>
    </row>
    <row r="6" spans="1:18" ht="12" x14ac:dyDescent="0.2">
      <c r="B6" s="89" t="s">
        <v>12</v>
      </c>
      <c r="C6" s="106" t="s">
        <v>13</v>
      </c>
      <c r="E6" s="107" t="s">
        <v>14</v>
      </c>
      <c r="G6" s="105" t="s">
        <v>15</v>
      </c>
      <c r="H6" s="108">
        <v>657.61800000000005</v>
      </c>
      <c r="I6" s="108">
        <v>697.37099999999998</v>
      </c>
      <c r="J6" s="108">
        <v>681.79700000000003</v>
      </c>
      <c r="K6" s="108">
        <v>695.91200000000003</v>
      </c>
      <c r="L6" s="108">
        <v>722.11400000000003</v>
      </c>
      <c r="M6" s="108">
        <v>690</v>
      </c>
      <c r="N6" s="108">
        <v>500</v>
      </c>
      <c r="O6" s="108">
        <v>400</v>
      </c>
      <c r="P6" s="108">
        <v>300</v>
      </c>
      <c r="Q6" s="108">
        <v>300</v>
      </c>
      <c r="R6" s="108">
        <v>300</v>
      </c>
    </row>
    <row r="7" spans="1:18" ht="12" x14ac:dyDescent="0.2">
      <c r="B7" s="89" t="s">
        <v>16</v>
      </c>
      <c r="C7" s="106" t="s">
        <v>17</v>
      </c>
      <c r="E7" s="107" t="s">
        <v>14</v>
      </c>
      <c r="G7" s="105" t="s">
        <v>18</v>
      </c>
      <c r="H7" s="108">
        <v>1183.154</v>
      </c>
      <c r="I7" s="108">
        <v>1220.481</v>
      </c>
      <c r="J7" s="108">
        <v>1223.8920000000001</v>
      </c>
      <c r="K7" s="108">
        <v>853.66</v>
      </c>
      <c r="L7" s="108">
        <v>687.07600000000002</v>
      </c>
      <c r="M7" s="108">
        <v>300</v>
      </c>
      <c r="N7" s="108">
        <v>200</v>
      </c>
      <c r="O7" s="108">
        <v>200</v>
      </c>
      <c r="P7" s="108">
        <v>200</v>
      </c>
      <c r="Q7" s="108">
        <v>200</v>
      </c>
      <c r="R7" s="108">
        <v>200</v>
      </c>
    </row>
    <row r="8" spans="1:18" ht="12" x14ac:dyDescent="0.2">
      <c r="B8" s="89" t="s">
        <v>19</v>
      </c>
      <c r="C8" s="106" t="s">
        <v>20</v>
      </c>
      <c r="E8" s="107" t="s">
        <v>14</v>
      </c>
      <c r="G8" s="105" t="s">
        <v>21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</row>
    <row r="9" spans="1:18" x14ac:dyDescent="0.2">
      <c r="B9" s="89" t="s">
        <v>22</v>
      </c>
      <c r="C9" s="106">
        <v>108</v>
      </c>
      <c r="E9" s="109"/>
      <c r="G9" s="105" t="s">
        <v>23</v>
      </c>
      <c r="H9" s="108">
        <v>33.095999999999997</v>
      </c>
      <c r="I9" s="108">
        <v>33.359000000000002</v>
      </c>
      <c r="J9" s="108">
        <v>37.567999999999998</v>
      </c>
      <c r="K9" s="108">
        <v>38.344999999999999</v>
      </c>
      <c r="L9" s="108">
        <v>35.338000000000001</v>
      </c>
      <c r="M9" s="108">
        <v>51</v>
      </c>
      <c r="N9" s="108">
        <v>45</v>
      </c>
      <c r="O9" s="108">
        <v>45</v>
      </c>
      <c r="P9" s="108">
        <v>45</v>
      </c>
      <c r="Q9" s="108">
        <v>45</v>
      </c>
      <c r="R9" s="108">
        <v>45</v>
      </c>
    </row>
    <row r="10" spans="1:18" x14ac:dyDescent="0.2">
      <c r="A10" s="110"/>
      <c r="B10" s="89" t="s">
        <v>24</v>
      </c>
      <c r="C10" s="111">
        <v>15</v>
      </c>
      <c r="D10" s="111"/>
      <c r="E10" s="109"/>
      <c r="F10" s="110"/>
      <c r="G10" s="105" t="s">
        <v>25</v>
      </c>
      <c r="H10" s="102">
        <f t="shared" ref="H10:R10" si="2">SUM(H11:H16)</f>
        <v>12364.597</v>
      </c>
      <c r="I10" s="102">
        <f t="shared" si="2"/>
        <v>10941.107</v>
      </c>
      <c r="J10" s="102">
        <f t="shared" si="2"/>
        <v>9354.2209999999995</v>
      </c>
      <c r="K10" s="102">
        <f t="shared" si="2"/>
        <v>8310.9699999999993</v>
      </c>
      <c r="L10" s="102">
        <f t="shared" si="2"/>
        <v>7461.759</v>
      </c>
      <c r="M10" s="102">
        <f t="shared" si="2"/>
        <v>7018</v>
      </c>
      <c r="N10" s="102">
        <f t="shared" si="2"/>
        <v>6573</v>
      </c>
      <c r="O10" s="102">
        <f t="shared" si="2"/>
        <v>6131</v>
      </c>
      <c r="P10" s="102">
        <f t="shared" si="2"/>
        <v>5663</v>
      </c>
      <c r="Q10" s="102">
        <f t="shared" si="2"/>
        <v>5119</v>
      </c>
      <c r="R10" s="102">
        <f t="shared" si="2"/>
        <v>5192</v>
      </c>
    </row>
    <row r="11" spans="1:18" ht="12" x14ac:dyDescent="0.2">
      <c r="A11" s="110"/>
      <c r="B11" s="89" t="s">
        <v>26</v>
      </c>
      <c r="C11" s="111">
        <v>150</v>
      </c>
      <c r="D11" s="111"/>
      <c r="E11" s="107" t="s">
        <v>14</v>
      </c>
      <c r="F11" s="110"/>
      <c r="G11" s="105" t="s">
        <v>27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</row>
    <row r="12" spans="1:18" ht="12" x14ac:dyDescent="0.2">
      <c r="A12" s="110"/>
      <c r="B12" s="89" t="s">
        <v>28</v>
      </c>
      <c r="C12" s="111">
        <v>151</v>
      </c>
      <c r="D12" s="111"/>
      <c r="E12" s="107" t="s">
        <v>14</v>
      </c>
      <c r="F12" s="110"/>
      <c r="G12" s="105" t="s">
        <v>29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</row>
    <row r="13" spans="1:18" ht="12" x14ac:dyDescent="0.2">
      <c r="B13" s="89" t="s">
        <v>30</v>
      </c>
      <c r="C13" s="106" t="s">
        <v>31</v>
      </c>
      <c r="E13" s="107" t="s">
        <v>14</v>
      </c>
      <c r="G13" s="105" t="s">
        <v>32</v>
      </c>
      <c r="H13" s="108">
        <v>3019.2220000000002</v>
      </c>
      <c r="I13" s="108">
        <v>2025.345</v>
      </c>
      <c r="J13" s="108">
        <v>1048.845</v>
      </c>
      <c r="K13" s="108">
        <v>471.87</v>
      </c>
      <c r="L13" s="108">
        <v>30.151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</row>
    <row r="14" spans="1:18" ht="12" x14ac:dyDescent="0.2">
      <c r="B14" s="89" t="s">
        <v>33</v>
      </c>
      <c r="C14" s="106">
        <v>154</v>
      </c>
      <c r="E14" s="107" t="s">
        <v>14</v>
      </c>
      <c r="G14" s="105" t="s">
        <v>34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</row>
    <row r="15" spans="1:18" ht="12" x14ac:dyDescent="0.2">
      <c r="B15" s="89" t="s">
        <v>35</v>
      </c>
      <c r="C15" s="106" t="s">
        <v>36</v>
      </c>
      <c r="E15" s="107" t="s">
        <v>14</v>
      </c>
      <c r="G15" s="105" t="s">
        <v>37</v>
      </c>
      <c r="H15" s="108">
        <f>9276.291+69.084</f>
        <v>9345.375</v>
      </c>
      <c r="I15" s="108">
        <f>8863.646+52.116</f>
        <v>8915.7620000000006</v>
      </c>
      <c r="J15" s="108">
        <f>8232.087+73.289</f>
        <v>8305.3760000000002</v>
      </c>
      <c r="K15" s="108">
        <f>7784.937+54.163</f>
        <v>7839.0999999999995</v>
      </c>
      <c r="L15" s="108">
        <f>7384.26+47.348</f>
        <v>7431.6080000000002</v>
      </c>
      <c r="M15" s="108">
        <v>7018</v>
      </c>
      <c r="N15" s="108">
        <v>6573</v>
      </c>
      <c r="O15" s="108">
        <v>6131</v>
      </c>
      <c r="P15" s="108">
        <v>5663</v>
      </c>
      <c r="Q15" s="108">
        <v>5119</v>
      </c>
      <c r="R15" s="108">
        <v>5192</v>
      </c>
    </row>
    <row r="16" spans="1:18" ht="12" x14ac:dyDescent="0.2">
      <c r="B16" s="89" t="s">
        <v>38</v>
      </c>
      <c r="C16" s="106">
        <v>157</v>
      </c>
      <c r="E16" s="107" t="s">
        <v>14</v>
      </c>
      <c r="G16" s="105" t="s">
        <v>39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</row>
    <row r="17" spans="1:20" s="116" customFormat="1" ht="12" x14ac:dyDescent="0.2">
      <c r="A17" s="112"/>
      <c r="B17" s="89" t="s">
        <v>40</v>
      </c>
      <c r="C17" s="112" t="s">
        <v>41</v>
      </c>
      <c r="D17" s="112"/>
      <c r="E17" s="107" t="s">
        <v>14</v>
      </c>
      <c r="F17" s="113"/>
      <c r="G17" s="114" t="s">
        <v>42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91"/>
    </row>
    <row r="18" spans="1:20" x14ac:dyDescent="0.2">
      <c r="B18" s="89" t="s">
        <v>43</v>
      </c>
      <c r="C18" s="106">
        <v>2</v>
      </c>
      <c r="E18" s="109"/>
      <c r="G18" s="105" t="s">
        <v>44</v>
      </c>
      <c r="H18" s="102">
        <f t="shared" ref="H18:R18" si="3">H19+H27</f>
        <v>14238.938</v>
      </c>
      <c r="I18" s="102">
        <f t="shared" si="3"/>
        <v>12892.315999999999</v>
      </c>
      <c r="J18" s="102">
        <f t="shared" si="3"/>
        <v>11297.477000000001</v>
      </c>
      <c r="K18" s="102">
        <f t="shared" si="3"/>
        <v>9898.8860000000004</v>
      </c>
      <c r="L18" s="102">
        <f t="shared" si="3"/>
        <v>8906.2870000000003</v>
      </c>
      <c r="M18" s="102">
        <f t="shared" si="3"/>
        <v>8059</v>
      </c>
      <c r="N18" s="102">
        <f t="shared" si="3"/>
        <v>7318</v>
      </c>
      <c r="O18" s="102">
        <f t="shared" si="3"/>
        <v>6776</v>
      </c>
      <c r="P18" s="102">
        <f t="shared" si="3"/>
        <v>6208</v>
      </c>
      <c r="Q18" s="102">
        <f t="shared" si="3"/>
        <v>5664</v>
      </c>
      <c r="R18" s="102">
        <f t="shared" si="3"/>
        <v>5737</v>
      </c>
    </row>
    <row r="19" spans="1:20" x14ac:dyDescent="0.2">
      <c r="B19" s="89" t="s">
        <v>45</v>
      </c>
      <c r="C19" s="106" t="s">
        <v>46</v>
      </c>
      <c r="E19" s="109"/>
      <c r="G19" s="105" t="s">
        <v>47</v>
      </c>
      <c r="H19" s="102">
        <f t="shared" ref="H19:R19" si="4">SUM(H21:H26)</f>
        <v>4612.0259999999998</v>
      </c>
      <c r="I19" s="102">
        <f t="shared" si="4"/>
        <v>3758.14</v>
      </c>
      <c r="J19" s="102">
        <f t="shared" si="4"/>
        <v>2856.0740000000001</v>
      </c>
      <c r="K19" s="102">
        <f t="shared" si="4"/>
        <v>1911.81</v>
      </c>
      <c r="L19" s="102">
        <f t="shared" si="4"/>
        <v>1345.7250000000001</v>
      </c>
      <c r="M19" s="102">
        <f t="shared" si="4"/>
        <v>905</v>
      </c>
      <c r="N19" s="102">
        <f t="shared" si="4"/>
        <v>788</v>
      </c>
      <c r="O19" s="102">
        <f t="shared" si="4"/>
        <v>695</v>
      </c>
      <c r="P19" s="102">
        <f t="shared" si="4"/>
        <v>813</v>
      </c>
      <c r="Q19" s="102">
        <f t="shared" si="4"/>
        <v>800</v>
      </c>
      <c r="R19" s="102">
        <f t="shared" si="4"/>
        <v>1345</v>
      </c>
    </row>
    <row r="20" spans="1:20" s="120" customFormat="1" ht="12" x14ac:dyDescent="0.2">
      <c r="A20" s="117"/>
      <c r="B20" s="89" t="s">
        <v>48</v>
      </c>
      <c r="C20" s="112" t="s">
        <v>49</v>
      </c>
      <c r="D20" s="112"/>
      <c r="E20" s="107" t="s">
        <v>14</v>
      </c>
      <c r="F20" s="117"/>
      <c r="G20" s="114" t="s">
        <v>50</v>
      </c>
      <c r="H20" s="118">
        <v>1581.18</v>
      </c>
      <c r="I20" s="118">
        <v>1721.152</v>
      </c>
      <c r="J20" s="118">
        <v>1795.586</v>
      </c>
      <c r="K20" s="118">
        <v>1428.297</v>
      </c>
      <c r="L20" s="118">
        <v>1303.9649999999999</v>
      </c>
      <c r="M20" s="118">
        <v>905</v>
      </c>
      <c r="N20" s="118">
        <v>788</v>
      </c>
      <c r="O20" s="118">
        <v>695</v>
      </c>
      <c r="P20" s="118">
        <v>813</v>
      </c>
      <c r="Q20" s="118">
        <v>800</v>
      </c>
      <c r="R20" s="118">
        <v>1345</v>
      </c>
      <c r="S20" s="119"/>
      <c r="T20" s="119"/>
    </row>
    <row r="21" spans="1:20" ht="12" x14ac:dyDescent="0.2">
      <c r="B21" s="89" t="s">
        <v>51</v>
      </c>
      <c r="C21" s="121" t="s">
        <v>52</v>
      </c>
      <c r="D21" s="121"/>
      <c r="E21" s="107" t="s">
        <v>14</v>
      </c>
      <c r="G21" s="105" t="s">
        <v>53</v>
      </c>
      <c r="H21" s="108">
        <f>280.03+57.51+304.151</f>
        <v>641.69100000000003</v>
      </c>
      <c r="I21" s="108">
        <f>297.703+64.815+367.971</f>
        <v>730.48900000000003</v>
      </c>
      <c r="J21" s="108">
        <f>358.828+57.546+384.034</f>
        <v>800.4079999999999</v>
      </c>
      <c r="K21" s="108">
        <f>378.238+64.389+392.259</f>
        <v>834.88599999999997</v>
      </c>
      <c r="L21" s="108">
        <f>420.454+67.237+374.334</f>
        <v>862.02500000000009</v>
      </c>
      <c r="M21" s="108">
        <v>863</v>
      </c>
      <c r="N21" s="108">
        <v>788</v>
      </c>
      <c r="O21" s="108">
        <f>857-162</f>
        <v>695</v>
      </c>
      <c r="P21" s="108">
        <v>813</v>
      </c>
      <c r="Q21" s="108">
        <v>800</v>
      </c>
      <c r="R21" s="108">
        <f>668+677</f>
        <v>1345</v>
      </c>
    </row>
    <row r="22" spans="1:20" ht="12" x14ac:dyDescent="0.2">
      <c r="B22" s="89" t="s">
        <v>54</v>
      </c>
      <c r="C22" s="106" t="s">
        <v>55</v>
      </c>
      <c r="E22" s="107" t="s">
        <v>14</v>
      </c>
      <c r="G22" s="105" t="s">
        <v>56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</row>
    <row r="23" spans="1:20" ht="12" x14ac:dyDescent="0.2">
      <c r="B23" s="89" t="s">
        <v>57</v>
      </c>
      <c r="C23" s="106">
        <v>257</v>
      </c>
      <c r="E23" s="107" t="s">
        <v>14</v>
      </c>
      <c r="G23" s="105" t="s">
        <v>58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</row>
    <row r="24" spans="1:20" ht="12" x14ac:dyDescent="0.2">
      <c r="A24" s="122"/>
      <c r="B24" s="89" t="s">
        <v>59</v>
      </c>
      <c r="C24" s="106" t="s">
        <v>60</v>
      </c>
      <c r="E24" s="107" t="s">
        <v>14</v>
      </c>
      <c r="F24" s="122"/>
      <c r="G24" s="105" t="s">
        <v>61</v>
      </c>
      <c r="H24" s="108">
        <f>939.489+3030.846</f>
        <v>3970.335</v>
      </c>
      <c r="I24" s="108">
        <f>990.663+2036.988</f>
        <v>3027.6509999999998</v>
      </c>
      <c r="J24" s="108">
        <f>995.178+1060.488</f>
        <v>2055.6660000000002</v>
      </c>
      <c r="K24" s="108">
        <f>593.411+483.513</f>
        <v>1076.924</v>
      </c>
      <c r="L24" s="108">
        <f>441.941+41.759</f>
        <v>483.7</v>
      </c>
      <c r="M24" s="108">
        <v>42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</row>
    <row r="25" spans="1:20" ht="12" x14ac:dyDescent="0.2">
      <c r="A25" s="122"/>
      <c r="B25" s="89" t="s">
        <v>62</v>
      </c>
      <c r="C25" s="106" t="s">
        <v>63</v>
      </c>
      <c r="E25" s="107" t="s">
        <v>14</v>
      </c>
      <c r="F25" s="122"/>
      <c r="G25" s="105" t="s">
        <v>64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</row>
    <row r="26" spans="1:20" ht="12" x14ac:dyDescent="0.2">
      <c r="B26" s="89" t="s">
        <v>65</v>
      </c>
      <c r="C26" s="106">
        <v>28</v>
      </c>
      <c r="E26" s="107" t="s">
        <v>14</v>
      </c>
      <c r="G26" s="105" t="s">
        <v>66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</row>
    <row r="27" spans="1:20" x14ac:dyDescent="0.2">
      <c r="B27" s="89" t="s">
        <v>67</v>
      </c>
      <c r="C27" s="106">
        <v>29</v>
      </c>
      <c r="E27" s="109"/>
      <c r="G27" s="105" t="s">
        <v>68</v>
      </c>
      <c r="H27" s="102">
        <f t="shared" ref="H27:R27" si="5">SUM(H28:H30)</f>
        <v>9626.9120000000003</v>
      </c>
      <c r="I27" s="102">
        <f t="shared" si="5"/>
        <v>9134.1759999999995</v>
      </c>
      <c r="J27" s="102">
        <f t="shared" si="5"/>
        <v>8441.4030000000002</v>
      </c>
      <c r="K27" s="102">
        <f t="shared" si="5"/>
        <v>7987.076</v>
      </c>
      <c r="L27" s="102">
        <f t="shared" si="5"/>
        <v>7560.5619999999999</v>
      </c>
      <c r="M27" s="102">
        <f t="shared" si="5"/>
        <v>7154</v>
      </c>
      <c r="N27" s="102">
        <f t="shared" si="5"/>
        <v>6530</v>
      </c>
      <c r="O27" s="102">
        <f t="shared" si="5"/>
        <v>6081</v>
      </c>
      <c r="P27" s="102">
        <f t="shared" si="5"/>
        <v>5395</v>
      </c>
      <c r="Q27" s="102">
        <f t="shared" si="5"/>
        <v>4864</v>
      </c>
      <c r="R27" s="102">
        <f t="shared" si="5"/>
        <v>4392</v>
      </c>
    </row>
    <row r="28" spans="1:20" ht="12" x14ac:dyDescent="0.2">
      <c r="B28" s="89" t="s">
        <v>69</v>
      </c>
      <c r="C28" s="103" t="s">
        <v>70</v>
      </c>
      <c r="D28" s="103"/>
      <c r="E28" s="107" t="s">
        <v>14</v>
      </c>
      <c r="G28" s="105" t="s">
        <v>71</v>
      </c>
      <c r="H28" s="108">
        <v>7103.5910000000003</v>
      </c>
      <c r="I28" s="108">
        <v>7103.5910000000003</v>
      </c>
      <c r="J28" s="108">
        <v>7103.5910000000003</v>
      </c>
      <c r="K28" s="108">
        <v>7103.5910000000003</v>
      </c>
      <c r="L28" s="108">
        <v>7103.5910000000003</v>
      </c>
      <c r="M28" s="108">
        <v>7104</v>
      </c>
      <c r="N28" s="108">
        <v>7104</v>
      </c>
      <c r="O28" s="108">
        <v>7104</v>
      </c>
      <c r="P28" s="108">
        <v>7104</v>
      </c>
      <c r="Q28" s="108">
        <v>7104</v>
      </c>
      <c r="R28" s="108">
        <v>7104</v>
      </c>
    </row>
    <row r="29" spans="1:20" ht="12" x14ac:dyDescent="0.2">
      <c r="B29" s="89" t="s">
        <v>72</v>
      </c>
      <c r="C29" s="106">
        <v>298</v>
      </c>
      <c r="E29" s="107" t="s">
        <v>14</v>
      </c>
      <c r="G29" s="105" t="s">
        <v>73</v>
      </c>
      <c r="H29" s="108">
        <v>3173.6509999999998</v>
      </c>
      <c r="I29" s="108">
        <v>2523.3209999999999</v>
      </c>
      <c r="J29" s="108">
        <v>2030.585</v>
      </c>
      <c r="K29" s="108">
        <v>1337.8119999999999</v>
      </c>
      <c r="L29" s="108">
        <v>883.48500000000001</v>
      </c>
      <c r="M29" s="108">
        <v>457</v>
      </c>
      <c r="N29" s="108">
        <v>50</v>
      </c>
      <c r="O29" s="108">
        <f>N29+N30</f>
        <v>-574</v>
      </c>
      <c r="P29" s="108">
        <f>O29+O30</f>
        <v>-1023</v>
      </c>
      <c r="Q29" s="108">
        <f>P29+P30</f>
        <v>-1709</v>
      </c>
      <c r="R29" s="108">
        <v>-2240</v>
      </c>
    </row>
    <row r="30" spans="1:20" ht="12" x14ac:dyDescent="0.2">
      <c r="B30" s="89" t="s">
        <v>74</v>
      </c>
      <c r="C30" s="106">
        <v>299</v>
      </c>
      <c r="E30" s="107" t="s">
        <v>429</v>
      </c>
      <c r="G30" s="105" t="s">
        <v>76</v>
      </c>
      <c r="H30" s="108">
        <v>-650.33000000000004</v>
      </c>
      <c r="I30" s="108">
        <v>-492.73599999999999</v>
      </c>
      <c r="J30" s="108">
        <v>-692.77300000000002</v>
      </c>
      <c r="K30" s="108">
        <v>-454.327</v>
      </c>
      <c r="L30" s="108">
        <v>-426.51400000000001</v>
      </c>
      <c r="M30" s="108">
        <v>-407</v>
      </c>
      <c r="N30" s="108">
        <v>-624</v>
      </c>
      <c r="O30" s="108">
        <f>O51</f>
        <v>-449</v>
      </c>
      <c r="P30" s="108">
        <f>P51</f>
        <v>-686</v>
      </c>
      <c r="Q30" s="108">
        <f>Q51</f>
        <v>-531</v>
      </c>
      <c r="R30" s="108">
        <f>R51</f>
        <v>-472</v>
      </c>
    </row>
    <row r="31" spans="1:20" s="128" customFormat="1" x14ac:dyDescent="0.2">
      <c r="A31" s="123"/>
      <c r="B31" s="97"/>
      <c r="C31" s="124"/>
      <c r="D31" s="124"/>
      <c r="E31" s="125"/>
      <c r="F31" s="123"/>
      <c r="G31" s="126" t="s">
        <v>77</v>
      </c>
      <c r="H31" s="127">
        <f t="shared" ref="H31:R31" si="6">H4-H18</f>
        <v>-0.47299999999995634</v>
      </c>
      <c r="I31" s="127">
        <f t="shared" si="6"/>
        <v>2.0000000004074536E-3</v>
      </c>
      <c r="J31" s="127">
        <f t="shared" si="6"/>
        <v>9.9999999838473741E-4</v>
      </c>
      <c r="K31" s="127">
        <f t="shared" si="6"/>
        <v>9.9999999838473741E-4</v>
      </c>
      <c r="L31" s="127">
        <f t="shared" si="6"/>
        <v>0</v>
      </c>
      <c r="M31" s="127">
        <f t="shared" si="6"/>
        <v>0</v>
      </c>
      <c r="N31" s="127">
        <f t="shared" si="6"/>
        <v>0</v>
      </c>
      <c r="O31" s="127">
        <f t="shared" si="6"/>
        <v>0</v>
      </c>
      <c r="P31" s="127">
        <f t="shared" si="6"/>
        <v>0</v>
      </c>
      <c r="Q31" s="127">
        <f t="shared" si="6"/>
        <v>0</v>
      </c>
      <c r="R31" s="127">
        <f t="shared" si="6"/>
        <v>0</v>
      </c>
      <c r="S31" s="91"/>
    </row>
    <row r="32" spans="1:20" x14ac:dyDescent="0.2">
      <c r="G32" s="98" t="s">
        <v>78</v>
      </c>
      <c r="H32" s="129">
        <v>2011</v>
      </c>
      <c r="I32" s="129">
        <f t="shared" ref="I32:R32" si="7">H32+1</f>
        <v>2012</v>
      </c>
      <c r="J32" s="129">
        <f t="shared" si="7"/>
        <v>2013</v>
      </c>
      <c r="K32" s="129">
        <f t="shared" si="7"/>
        <v>2014</v>
      </c>
      <c r="L32" s="129">
        <f t="shared" si="7"/>
        <v>2015</v>
      </c>
      <c r="M32" s="129">
        <f t="shared" si="7"/>
        <v>2016</v>
      </c>
      <c r="N32" s="129">
        <f t="shared" si="7"/>
        <v>2017</v>
      </c>
      <c r="O32" s="129">
        <f t="shared" si="7"/>
        <v>2018</v>
      </c>
      <c r="P32" s="129">
        <f t="shared" si="7"/>
        <v>2019</v>
      </c>
      <c r="Q32" s="129">
        <f t="shared" si="7"/>
        <v>2020</v>
      </c>
      <c r="R32" s="129">
        <f t="shared" si="7"/>
        <v>2021</v>
      </c>
    </row>
    <row r="33" spans="1:18" x14ac:dyDescent="0.2">
      <c r="B33" s="89" t="s">
        <v>79</v>
      </c>
      <c r="C33" s="106">
        <v>3</v>
      </c>
      <c r="G33" s="101" t="s">
        <v>80</v>
      </c>
      <c r="H33" s="102">
        <f t="shared" ref="H33:R33" si="8">SUM(H34:H37)</f>
        <v>2743.4289999999996</v>
      </c>
      <c r="I33" s="102">
        <f t="shared" si="8"/>
        <v>3141.7719999999999</v>
      </c>
      <c r="J33" s="102">
        <f t="shared" si="8"/>
        <v>2874.9450000000002</v>
      </c>
      <c r="K33" s="102">
        <f t="shared" si="8"/>
        <v>3206.9489999999996</v>
      </c>
      <c r="L33" s="102">
        <f t="shared" si="8"/>
        <v>3283.1250000000005</v>
      </c>
      <c r="M33" s="102">
        <f t="shared" si="8"/>
        <v>3450</v>
      </c>
      <c r="N33" s="102">
        <f t="shared" si="8"/>
        <v>3435</v>
      </c>
      <c r="O33" s="102">
        <f t="shared" si="8"/>
        <v>4961</v>
      </c>
      <c r="P33" s="102">
        <f t="shared" si="8"/>
        <v>5080</v>
      </c>
      <c r="Q33" s="102">
        <f t="shared" si="8"/>
        <v>5220</v>
      </c>
      <c r="R33" s="102">
        <f t="shared" si="8"/>
        <v>5360</v>
      </c>
    </row>
    <row r="34" spans="1:18" ht="12" x14ac:dyDescent="0.2">
      <c r="B34" s="89" t="s">
        <v>81</v>
      </c>
      <c r="C34" s="106">
        <v>30</v>
      </c>
      <c r="E34" s="107" t="s">
        <v>14</v>
      </c>
      <c r="G34" s="105" t="s">
        <v>82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</row>
    <row r="35" spans="1:18" ht="12" x14ac:dyDescent="0.2">
      <c r="B35" s="89" t="s">
        <v>83</v>
      </c>
      <c r="C35" s="106">
        <v>32</v>
      </c>
      <c r="E35" s="107" t="s">
        <v>14</v>
      </c>
      <c r="G35" s="105" t="s">
        <v>84</v>
      </c>
      <c r="H35" s="108">
        <v>1271.5429999999999</v>
      </c>
      <c r="I35" s="108">
        <v>1378.075</v>
      </c>
      <c r="J35" s="108">
        <v>1366.088</v>
      </c>
      <c r="K35" s="108">
        <v>1616.0229999999999</v>
      </c>
      <c r="L35" s="108">
        <v>1515.15</v>
      </c>
      <c r="M35" s="108">
        <v>1567</v>
      </c>
      <c r="N35" s="108">
        <v>1533</v>
      </c>
      <c r="O35" s="108">
        <v>1648</v>
      </c>
      <c r="P35" s="108">
        <v>1680</v>
      </c>
      <c r="Q35" s="108">
        <v>1720</v>
      </c>
      <c r="R35" s="108">
        <v>1760</v>
      </c>
    </row>
    <row r="36" spans="1:18" ht="12" x14ac:dyDescent="0.2">
      <c r="A36" s="110"/>
      <c r="B36" s="89" t="s">
        <v>85</v>
      </c>
      <c r="C36" s="106">
        <v>35</v>
      </c>
      <c r="E36" s="107" t="s">
        <v>14</v>
      </c>
      <c r="F36" s="110"/>
      <c r="G36" s="105" t="s">
        <v>86</v>
      </c>
      <c r="H36" s="108">
        <v>1464.5229999999999</v>
      </c>
      <c r="I36" s="108">
        <v>1688.8219999999999</v>
      </c>
      <c r="J36" s="108">
        <v>1508.18</v>
      </c>
      <c r="K36" s="108">
        <v>1590.9259999999999</v>
      </c>
      <c r="L36" s="108">
        <v>1767.2090000000001</v>
      </c>
      <c r="M36" s="108">
        <v>1883</v>
      </c>
      <c r="N36" s="108">
        <f>1944-42</f>
        <v>1902</v>
      </c>
      <c r="O36" s="108">
        <v>3313</v>
      </c>
      <c r="P36" s="108">
        <v>3400</v>
      </c>
      <c r="Q36" s="108">
        <v>3500</v>
      </c>
      <c r="R36" s="108">
        <v>3600</v>
      </c>
    </row>
    <row r="37" spans="1:18" ht="12" x14ac:dyDescent="0.2">
      <c r="B37" s="89" t="s">
        <v>87</v>
      </c>
      <c r="C37" s="106">
        <v>38</v>
      </c>
      <c r="E37" s="107" t="s">
        <v>14</v>
      </c>
      <c r="G37" s="105" t="s">
        <v>88</v>
      </c>
      <c r="H37" s="108">
        <v>7.3630000000000004</v>
      </c>
      <c r="I37" s="108">
        <v>74.875</v>
      </c>
      <c r="J37" s="108">
        <v>0.67700000000000005</v>
      </c>
      <c r="K37" s="108">
        <v>0</v>
      </c>
      <c r="L37" s="108">
        <v>0.76600000000000001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</row>
    <row r="38" spans="1:18" x14ac:dyDescent="0.2">
      <c r="B38" s="89" t="s">
        <v>89</v>
      </c>
      <c r="C38" s="106">
        <v>4</v>
      </c>
      <c r="E38" s="130"/>
      <c r="G38" s="105" t="s">
        <v>90</v>
      </c>
      <c r="H38" s="102">
        <f t="shared" ref="H38:R38" si="9">H39+H40</f>
        <v>-1.893</v>
      </c>
      <c r="I38" s="102">
        <f t="shared" si="9"/>
        <v>-2.5529999999999999</v>
      </c>
      <c r="J38" s="102">
        <f t="shared" si="9"/>
        <v>-2.5529999999999999</v>
      </c>
      <c r="K38" s="102">
        <f t="shared" si="9"/>
        <v>-2.81</v>
      </c>
      <c r="L38" s="102">
        <f t="shared" si="9"/>
        <v>-3.0110000000000001</v>
      </c>
      <c r="M38" s="102">
        <f t="shared" si="9"/>
        <v>-3</v>
      </c>
      <c r="N38" s="102">
        <f t="shared" si="9"/>
        <v>-3</v>
      </c>
      <c r="O38" s="102">
        <f t="shared" si="9"/>
        <v>-3</v>
      </c>
      <c r="P38" s="102">
        <f t="shared" si="9"/>
        <v>-3</v>
      </c>
      <c r="Q38" s="102">
        <f t="shared" si="9"/>
        <v>-3</v>
      </c>
      <c r="R38" s="102">
        <f t="shared" si="9"/>
        <v>-3</v>
      </c>
    </row>
    <row r="39" spans="1:18" ht="12" x14ac:dyDescent="0.2">
      <c r="B39" s="89" t="s">
        <v>91</v>
      </c>
      <c r="C39" s="106">
        <v>41</v>
      </c>
      <c r="E39" s="107" t="s">
        <v>430</v>
      </c>
      <c r="G39" s="105" t="s">
        <v>93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</row>
    <row r="40" spans="1:18" ht="12" x14ac:dyDescent="0.2">
      <c r="B40" s="89" t="s">
        <v>94</v>
      </c>
      <c r="C40" s="106">
        <v>45</v>
      </c>
      <c r="E40" s="107" t="s">
        <v>430</v>
      </c>
      <c r="G40" s="105" t="s">
        <v>95</v>
      </c>
      <c r="H40" s="108">
        <v>-1.893</v>
      </c>
      <c r="I40" s="108">
        <v>-2.5529999999999999</v>
      </c>
      <c r="J40" s="108">
        <v>-2.5529999999999999</v>
      </c>
      <c r="K40" s="108">
        <v>-2.81</v>
      </c>
      <c r="L40" s="108">
        <v>-3.0110000000000001</v>
      </c>
      <c r="M40" s="108">
        <v>-3</v>
      </c>
      <c r="N40" s="108">
        <v>-3</v>
      </c>
      <c r="O40" s="108">
        <v>-3</v>
      </c>
      <c r="P40" s="108">
        <v>-3</v>
      </c>
      <c r="Q40" s="108">
        <v>-3</v>
      </c>
      <c r="R40" s="108">
        <v>-3</v>
      </c>
    </row>
    <row r="41" spans="1:18" x14ac:dyDescent="0.2">
      <c r="A41" s="110"/>
      <c r="B41" s="89" t="s">
        <v>96</v>
      </c>
      <c r="C41" s="106" t="s">
        <v>97</v>
      </c>
      <c r="E41" s="130"/>
      <c r="F41" s="110"/>
      <c r="G41" s="105" t="s">
        <v>98</v>
      </c>
      <c r="H41" s="102">
        <f t="shared" ref="H41:R41" si="10">SUM(H42:H45)</f>
        <v>-3315.922</v>
      </c>
      <c r="I41" s="102">
        <f t="shared" si="10"/>
        <v>-3585.0819999999999</v>
      </c>
      <c r="J41" s="102">
        <f t="shared" si="10"/>
        <v>-3547.2490000000003</v>
      </c>
      <c r="K41" s="102">
        <f t="shared" si="10"/>
        <v>-3647.172</v>
      </c>
      <c r="L41" s="102">
        <f t="shared" si="10"/>
        <v>-3703.9949999999999</v>
      </c>
      <c r="M41" s="102">
        <f t="shared" si="10"/>
        <v>-3855</v>
      </c>
      <c r="N41" s="102">
        <f t="shared" si="10"/>
        <v>-4056</v>
      </c>
      <c r="O41" s="102">
        <f t="shared" si="10"/>
        <v>-5407</v>
      </c>
      <c r="P41" s="102">
        <f t="shared" si="10"/>
        <v>-5763</v>
      </c>
      <c r="Q41" s="102">
        <f t="shared" si="10"/>
        <v>-5748</v>
      </c>
      <c r="R41" s="102">
        <f t="shared" si="10"/>
        <v>-5829</v>
      </c>
    </row>
    <row r="42" spans="1:18" ht="12" x14ac:dyDescent="0.2">
      <c r="B42" s="89" t="s">
        <v>99</v>
      </c>
      <c r="C42" s="106">
        <v>50</v>
      </c>
      <c r="E42" s="107" t="s">
        <v>430</v>
      </c>
      <c r="G42" s="105" t="s">
        <v>100</v>
      </c>
      <c r="H42" s="108">
        <v>-1695.0350000000001</v>
      </c>
      <c r="I42" s="108">
        <v>-1825.47</v>
      </c>
      <c r="J42" s="108">
        <v>-1903.472</v>
      </c>
      <c r="K42" s="108">
        <v>-2083.42</v>
      </c>
      <c r="L42" s="108">
        <v>-2141.826</v>
      </c>
      <c r="M42" s="108">
        <v>-2504</v>
      </c>
      <c r="N42" s="108">
        <v>-2569</v>
      </c>
      <c r="O42" s="108">
        <v>-3423</v>
      </c>
      <c r="P42" s="108">
        <v>-3620</v>
      </c>
      <c r="Q42" s="108">
        <v>-3674</v>
      </c>
      <c r="R42" s="108">
        <v>-3757</v>
      </c>
    </row>
    <row r="43" spans="1:18" ht="12" x14ac:dyDescent="0.2">
      <c r="B43" s="89" t="s">
        <v>101</v>
      </c>
      <c r="C43" s="106">
        <v>55</v>
      </c>
      <c r="E43" s="107" t="s">
        <v>430</v>
      </c>
      <c r="G43" s="105" t="s">
        <v>102</v>
      </c>
      <c r="H43" s="108">
        <v>-890.86300000000006</v>
      </c>
      <c r="I43" s="108">
        <v>-1009.35</v>
      </c>
      <c r="J43" s="108">
        <v>-907.245</v>
      </c>
      <c r="K43" s="108">
        <v>-1070.9100000000001</v>
      </c>
      <c r="L43" s="108">
        <v>-1114.7329999999999</v>
      </c>
      <c r="M43" s="108">
        <v>-886</v>
      </c>
      <c r="N43" s="108">
        <v>-1034</v>
      </c>
      <c r="O43" s="108">
        <v>-1490</v>
      </c>
      <c r="P43" s="108">
        <v>-1653</v>
      </c>
      <c r="Q43" s="108">
        <v>-1590</v>
      </c>
      <c r="R43" s="108">
        <v>-1592</v>
      </c>
    </row>
    <row r="44" spans="1:18" ht="12" x14ac:dyDescent="0.2">
      <c r="A44" s="110"/>
      <c r="B44" s="89" t="s">
        <v>103</v>
      </c>
      <c r="C44" s="106">
        <v>60</v>
      </c>
      <c r="E44" s="107" t="s">
        <v>430</v>
      </c>
      <c r="F44" s="110"/>
      <c r="G44" s="105" t="s">
        <v>104</v>
      </c>
      <c r="H44" s="108">
        <v>-9.4209999999999994</v>
      </c>
      <c r="I44" s="108">
        <v>-8.8049999999999997</v>
      </c>
      <c r="J44" s="108">
        <v>-11.538</v>
      </c>
      <c r="K44" s="108">
        <v>-8.6750000000000007</v>
      </c>
      <c r="L44" s="108">
        <v>-7.9790000000000001</v>
      </c>
      <c r="M44" s="108">
        <v>-8</v>
      </c>
      <c r="N44" s="108">
        <v>-8</v>
      </c>
      <c r="O44" s="108">
        <v>-8</v>
      </c>
      <c r="P44" s="108">
        <v>-8</v>
      </c>
      <c r="Q44" s="108">
        <v>-8</v>
      </c>
      <c r="R44" s="108">
        <v>-8</v>
      </c>
    </row>
    <row r="45" spans="1:18" ht="12" x14ac:dyDescent="0.2">
      <c r="B45" s="89" t="s">
        <v>105</v>
      </c>
      <c r="C45" s="106">
        <v>61</v>
      </c>
      <c r="E45" s="107" t="s">
        <v>430</v>
      </c>
      <c r="G45" s="105" t="s">
        <v>106</v>
      </c>
      <c r="H45" s="108">
        <v>-720.60299999999995</v>
      </c>
      <c r="I45" s="108">
        <v>-741.45699999999999</v>
      </c>
      <c r="J45" s="108">
        <v>-724.99400000000003</v>
      </c>
      <c r="K45" s="108">
        <v>-484.16699999999997</v>
      </c>
      <c r="L45" s="108">
        <v>-439.45699999999999</v>
      </c>
      <c r="M45" s="108">
        <v>-457</v>
      </c>
      <c r="N45" s="108">
        <v>-445</v>
      </c>
      <c r="O45" s="108">
        <v>-486</v>
      </c>
      <c r="P45" s="108">
        <v>-482</v>
      </c>
      <c r="Q45" s="108">
        <v>-476</v>
      </c>
      <c r="R45" s="108">
        <v>-472</v>
      </c>
    </row>
    <row r="46" spans="1:18" x14ac:dyDescent="0.2">
      <c r="B46" s="89" t="s">
        <v>107</v>
      </c>
      <c r="G46" s="105" t="s">
        <v>108</v>
      </c>
      <c r="H46" s="102">
        <f t="shared" ref="H46:R46" si="11">H33+H38+H41</f>
        <v>-574.38600000000042</v>
      </c>
      <c r="I46" s="102">
        <f t="shared" si="11"/>
        <v>-445.86299999999983</v>
      </c>
      <c r="J46" s="102">
        <f t="shared" si="11"/>
        <v>-674.85699999999997</v>
      </c>
      <c r="K46" s="102">
        <f t="shared" si="11"/>
        <v>-443.03300000000036</v>
      </c>
      <c r="L46" s="102">
        <f t="shared" si="11"/>
        <v>-423.8809999999994</v>
      </c>
      <c r="M46" s="102">
        <f t="shared" si="11"/>
        <v>-408</v>
      </c>
      <c r="N46" s="102">
        <f t="shared" si="11"/>
        <v>-624</v>
      </c>
      <c r="O46" s="102">
        <f t="shared" si="11"/>
        <v>-449</v>
      </c>
      <c r="P46" s="102">
        <f t="shared" si="11"/>
        <v>-686</v>
      </c>
      <c r="Q46" s="102">
        <f t="shared" si="11"/>
        <v>-531</v>
      </c>
      <c r="R46" s="102">
        <f t="shared" si="11"/>
        <v>-472</v>
      </c>
    </row>
    <row r="47" spans="1:18" ht="12" x14ac:dyDescent="0.2">
      <c r="B47" s="89" t="s">
        <v>109</v>
      </c>
      <c r="C47" s="106">
        <v>65</v>
      </c>
      <c r="E47" s="107" t="s">
        <v>429</v>
      </c>
      <c r="G47" s="105" t="s">
        <v>110</v>
      </c>
      <c r="H47" s="108">
        <v>-75.942999999999998</v>
      </c>
      <c r="I47" s="108">
        <v>-46.874000000000002</v>
      </c>
      <c r="J47" s="108">
        <v>-18.026</v>
      </c>
      <c r="K47" s="108">
        <v>-11.292999999999999</v>
      </c>
      <c r="L47" s="108">
        <v>-2.363</v>
      </c>
      <c r="M47" s="108">
        <v>1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</row>
    <row r="48" spans="1:18" x14ac:dyDescent="0.2">
      <c r="B48" s="89" t="s">
        <v>111</v>
      </c>
      <c r="G48" s="105" t="s">
        <v>112</v>
      </c>
      <c r="H48" s="102">
        <f t="shared" ref="H48:R48" si="12">H46+H47</f>
        <v>-650.32900000000041</v>
      </c>
      <c r="I48" s="102">
        <f t="shared" si="12"/>
        <v>-492.73699999999985</v>
      </c>
      <c r="J48" s="102">
        <f t="shared" si="12"/>
        <v>-692.88299999999992</v>
      </c>
      <c r="K48" s="102">
        <f t="shared" si="12"/>
        <v>-454.32600000000036</v>
      </c>
      <c r="L48" s="102">
        <f t="shared" si="12"/>
        <v>-426.2439999999994</v>
      </c>
      <c r="M48" s="102">
        <f t="shared" si="12"/>
        <v>-407</v>
      </c>
      <c r="N48" s="102">
        <f t="shared" si="12"/>
        <v>-624</v>
      </c>
      <c r="O48" s="102">
        <f t="shared" si="12"/>
        <v>-449</v>
      </c>
      <c r="P48" s="102">
        <f t="shared" si="12"/>
        <v>-686</v>
      </c>
      <c r="Q48" s="102">
        <f t="shared" si="12"/>
        <v>-531</v>
      </c>
      <c r="R48" s="102">
        <f t="shared" si="12"/>
        <v>-472</v>
      </c>
    </row>
    <row r="49" spans="1:18" ht="12" x14ac:dyDescent="0.2">
      <c r="B49" s="89" t="s">
        <v>113</v>
      </c>
      <c r="C49" s="106">
        <v>68</v>
      </c>
      <c r="E49" s="107" t="s">
        <v>430</v>
      </c>
      <c r="G49" s="105" t="s">
        <v>114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</row>
    <row r="50" spans="1:18" ht="12" x14ac:dyDescent="0.2">
      <c r="B50" s="89" t="s">
        <v>115</v>
      </c>
      <c r="C50" s="106">
        <v>69</v>
      </c>
      <c r="E50" s="107" t="s">
        <v>14</v>
      </c>
      <c r="G50" s="105" t="s">
        <v>116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</row>
    <row r="51" spans="1:18" x14ac:dyDescent="0.2">
      <c r="B51" s="89" t="s">
        <v>117</v>
      </c>
      <c r="G51" s="105" t="s">
        <v>118</v>
      </c>
      <c r="H51" s="102">
        <f t="shared" ref="H51:R51" si="13">H48+H49+H50</f>
        <v>-650.32900000000041</v>
      </c>
      <c r="I51" s="102">
        <f t="shared" si="13"/>
        <v>-492.73699999999985</v>
      </c>
      <c r="J51" s="102">
        <f t="shared" si="13"/>
        <v>-692.88299999999992</v>
      </c>
      <c r="K51" s="102">
        <f t="shared" si="13"/>
        <v>-454.32600000000036</v>
      </c>
      <c r="L51" s="102">
        <f t="shared" si="13"/>
        <v>-426.2439999999994</v>
      </c>
      <c r="M51" s="102">
        <f t="shared" si="13"/>
        <v>-407</v>
      </c>
      <c r="N51" s="102">
        <f t="shared" si="13"/>
        <v>-624</v>
      </c>
      <c r="O51" s="102">
        <f t="shared" si="13"/>
        <v>-449</v>
      </c>
      <c r="P51" s="102">
        <f t="shared" si="13"/>
        <v>-686</v>
      </c>
      <c r="Q51" s="102">
        <f t="shared" si="13"/>
        <v>-531</v>
      </c>
      <c r="R51" s="102">
        <f t="shared" si="13"/>
        <v>-472</v>
      </c>
    </row>
    <row r="52" spans="1:18" x14ac:dyDescent="0.2">
      <c r="A52" s="131"/>
      <c r="C52" s="132"/>
      <c r="D52" s="132"/>
      <c r="E52" s="133"/>
      <c r="F52" s="131"/>
      <c r="G52" s="126" t="s">
        <v>119</v>
      </c>
      <c r="H52" s="127">
        <f t="shared" ref="H52:R52" si="14">H30-H51</f>
        <v>-9.9999999963529262E-4</v>
      </c>
      <c r="I52" s="127">
        <f t="shared" si="14"/>
        <v>9.999999998626663E-4</v>
      </c>
      <c r="J52" s="127">
        <f t="shared" si="14"/>
        <v>0.10999999999989996</v>
      </c>
      <c r="K52" s="127">
        <f t="shared" si="14"/>
        <v>-9.9999999963529262E-4</v>
      </c>
      <c r="L52" s="127">
        <f t="shared" si="14"/>
        <v>-0.27000000000060709</v>
      </c>
      <c r="M52" s="127">
        <f t="shared" si="14"/>
        <v>0</v>
      </c>
      <c r="N52" s="127">
        <f t="shared" si="14"/>
        <v>0</v>
      </c>
      <c r="O52" s="127">
        <f t="shared" si="14"/>
        <v>0</v>
      </c>
      <c r="P52" s="127">
        <f t="shared" si="14"/>
        <v>0</v>
      </c>
      <c r="Q52" s="127">
        <f t="shared" si="14"/>
        <v>0</v>
      </c>
      <c r="R52" s="127">
        <f t="shared" si="14"/>
        <v>0</v>
      </c>
    </row>
    <row r="53" spans="1:18" x14ac:dyDescent="0.2">
      <c r="G53" s="134" t="s">
        <v>120</v>
      </c>
    </row>
    <row r="54" spans="1:18" ht="12" x14ac:dyDescent="0.2">
      <c r="C54" s="106">
        <v>90</v>
      </c>
      <c r="E54" s="107" t="s">
        <v>14</v>
      </c>
      <c r="G54" s="134" t="s">
        <v>121</v>
      </c>
      <c r="H54" s="108">
        <v>129</v>
      </c>
      <c r="I54" s="108">
        <v>124</v>
      </c>
      <c r="J54" s="108">
        <v>130</v>
      </c>
      <c r="K54" s="108">
        <v>132</v>
      </c>
      <c r="L54" s="108">
        <v>129</v>
      </c>
      <c r="M54" s="108">
        <v>133</v>
      </c>
      <c r="N54" s="108">
        <v>133</v>
      </c>
      <c r="O54" s="108">
        <v>133</v>
      </c>
      <c r="P54" s="108">
        <v>133</v>
      </c>
      <c r="Q54" s="108">
        <v>133</v>
      </c>
      <c r="R54" s="108">
        <v>133</v>
      </c>
    </row>
    <row r="55" spans="1:18" ht="12" x14ac:dyDescent="0.2">
      <c r="E55" s="107" t="s">
        <v>14</v>
      </c>
      <c r="G55" s="134" t="s">
        <v>122</v>
      </c>
      <c r="H55" s="108"/>
      <c r="I55" s="108"/>
      <c r="J55" s="108"/>
      <c r="K55" s="108"/>
      <c r="L55" s="135"/>
      <c r="M55" s="135"/>
      <c r="N55" s="135"/>
      <c r="O55" s="135"/>
      <c r="P55" s="135"/>
      <c r="Q55" s="135"/>
      <c r="R55" s="135"/>
    </row>
    <row r="57" spans="1:18" x14ac:dyDescent="0.2">
      <c r="D57" s="136" t="s">
        <v>123</v>
      </c>
      <c r="E57" s="137" t="s">
        <v>3</v>
      </c>
      <c r="F57" s="104"/>
      <c r="G57" s="98" t="s">
        <v>124</v>
      </c>
      <c r="H57" s="129">
        <f t="shared" ref="H57:R57" si="15">H32</f>
        <v>2011</v>
      </c>
      <c r="I57" s="129">
        <f t="shared" si="15"/>
        <v>2012</v>
      </c>
      <c r="J57" s="129">
        <f t="shared" si="15"/>
        <v>2013</v>
      </c>
      <c r="K57" s="129">
        <f t="shared" si="15"/>
        <v>2014</v>
      </c>
      <c r="L57" s="129">
        <f t="shared" si="15"/>
        <v>2015</v>
      </c>
      <c r="M57" s="129">
        <f t="shared" si="15"/>
        <v>2016</v>
      </c>
      <c r="N57" s="129">
        <f t="shared" si="15"/>
        <v>2017</v>
      </c>
      <c r="O57" s="129">
        <f t="shared" si="15"/>
        <v>2018</v>
      </c>
      <c r="P57" s="129">
        <f t="shared" si="15"/>
        <v>2019</v>
      </c>
      <c r="Q57" s="129">
        <f t="shared" si="15"/>
        <v>2020</v>
      </c>
      <c r="R57" s="129">
        <f t="shared" si="15"/>
        <v>2021</v>
      </c>
    </row>
    <row r="58" spans="1:18" ht="11.25" customHeight="1" x14ac:dyDescent="0.2">
      <c r="B58" s="138" t="s">
        <v>125</v>
      </c>
      <c r="C58" s="103" t="s">
        <v>126</v>
      </c>
      <c r="D58" s="139" t="s">
        <v>127</v>
      </c>
      <c r="E58" s="107" t="s">
        <v>430</v>
      </c>
      <c r="F58" s="109"/>
      <c r="G58" s="101" t="s">
        <v>128</v>
      </c>
      <c r="H58" s="108">
        <v>-30.257999999999999</v>
      </c>
      <c r="I58" s="108">
        <v>-33.759</v>
      </c>
      <c r="J58" s="108">
        <v>-91.878</v>
      </c>
      <c r="K58" s="108">
        <v>-17.890999999999998</v>
      </c>
      <c r="L58" s="108">
        <v>-31.965</v>
      </c>
      <c r="M58" s="108">
        <v>-44</v>
      </c>
      <c r="N58" s="108">
        <v>-116</v>
      </c>
      <c r="O58" s="108">
        <v>-45</v>
      </c>
      <c r="P58" s="108">
        <v>-380</v>
      </c>
      <c r="Q58" s="108">
        <v>-96</v>
      </c>
      <c r="R58" s="108">
        <v>0</v>
      </c>
    </row>
    <row r="59" spans="1:18" ht="12" x14ac:dyDescent="0.2">
      <c r="B59" s="138" t="s">
        <v>129</v>
      </c>
      <c r="C59" s="140" t="s">
        <v>130</v>
      </c>
      <c r="D59" s="139" t="s">
        <v>131</v>
      </c>
      <c r="E59" s="107" t="s">
        <v>14</v>
      </c>
      <c r="F59" s="109"/>
      <c r="G59" s="141" t="s">
        <v>132</v>
      </c>
      <c r="H59" s="108">
        <v>0</v>
      </c>
      <c r="I59" s="108">
        <v>4.5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</row>
    <row r="60" spans="1:18" ht="12" x14ac:dyDescent="0.2">
      <c r="B60" s="138" t="s">
        <v>133</v>
      </c>
      <c r="C60" s="103" t="s">
        <v>134</v>
      </c>
      <c r="D60" s="139" t="s">
        <v>135</v>
      </c>
      <c r="E60" s="107" t="s">
        <v>14</v>
      </c>
      <c r="F60" s="109"/>
      <c r="G60" s="105" t="s">
        <v>136</v>
      </c>
      <c r="H60" s="108">
        <v>932.36199999999997</v>
      </c>
      <c r="I60" s="108">
        <v>940.81299999999999</v>
      </c>
      <c r="J60" s="108">
        <v>992.46799999999996</v>
      </c>
      <c r="K60" s="108">
        <v>993.74400000000003</v>
      </c>
      <c r="L60" s="108">
        <v>578.18799999999999</v>
      </c>
      <c r="M60" s="108">
        <v>443</v>
      </c>
      <c r="N60" s="108">
        <f>42+116</f>
        <v>158</v>
      </c>
      <c r="O60" s="108">
        <v>45</v>
      </c>
      <c r="P60" s="108">
        <v>380</v>
      </c>
      <c r="Q60" s="108">
        <v>96</v>
      </c>
      <c r="R60" s="108">
        <v>0</v>
      </c>
    </row>
    <row r="61" spans="1:18" ht="12" x14ac:dyDescent="0.2">
      <c r="B61" s="138" t="s">
        <v>137</v>
      </c>
      <c r="C61" s="103" t="s">
        <v>138</v>
      </c>
      <c r="D61" s="103" t="s">
        <v>139</v>
      </c>
      <c r="E61" s="107" t="s">
        <v>430</v>
      </c>
      <c r="F61" s="109"/>
      <c r="G61" s="105" t="s">
        <v>140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</row>
    <row r="62" spans="1:18" ht="12" x14ac:dyDescent="0.2">
      <c r="B62" s="138" t="s">
        <v>141</v>
      </c>
      <c r="C62" s="106">
        <v>253800</v>
      </c>
      <c r="D62" s="103" t="s">
        <v>135</v>
      </c>
      <c r="E62" s="107" t="s">
        <v>14</v>
      </c>
      <c r="F62" s="109"/>
      <c r="G62" s="105" t="s">
        <v>142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</row>
    <row r="63" spans="1:18" ht="12" x14ac:dyDescent="0.2">
      <c r="B63" s="138" t="s">
        <v>143</v>
      </c>
      <c r="C63" s="106">
        <v>150</v>
      </c>
      <c r="D63" s="103" t="s">
        <v>139</v>
      </c>
      <c r="E63" s="107" t="s">
        <v>430</v>
      </c>
      <c r="F63" s="109"/>
      <c r="G63" s="105" t="s">
        <v>144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</row>
    <row r="64" spans="1:18" ht="12" x14ac:dyDescent="0.2">
      <c r="B64" s="138" t="s">
        <v>145</v>
      </c>
      <c r="C64" s="103" t="s">
        <v>146</v>
      </c>
      <c r="D64" s="103" t="s">
        <v>135</v>
      </c>
      <c r="E64" s="107" t="s">
        <v>14</v>
      </c>
      <c r="F64" s="109"/>
      <c r="G64" s="105" t="s">
        <v>147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</row>
    <row r="65" spans="2:18" ht="12" x14ac:dyDescent="0.2">
      <c r="B65" s="138" t="s">
        <v>148</v>
      </c>
      <c r="C65" s="103" t="s">
        <v>149</v>
      </c>
      <c r="D65" s="103" t="s">
        <v>139</v>
      </c>
      <c r="E65" s="107" t="s">
        <v>430</v>
      </c>
      <c r="F65" s="109"/>
      <c r="G65" s="105" t="s">
        <v>150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</row>
    <row r="66" spans="2:18" ht="12" x14ac:dyDescent="0.2">
      <c r="B66" s="138" t="s">
        <v>151</v>
      </c>
      <c r="C66" s="103" t="s">
        <v>149</v>
      </c>
      <c r="D66" s="103" t="s">
        <v>135</v>
      </c>
      <c r="E66" s="107" t="s">
        <v>14</v>
      </c>
      <c r="F66" s="109"/>
      <c r="G66" s="105" t="s">
        <v>152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</row>
    <row r="67" spans="2:18" ht="12" x14ac:dyDescent="0.2">
      <c r="B67" s="138" t="s">
        <v>153</v>
      </c>
      <c r="C67" s="103" t="s">
        <v>154</v>
      </c>
      <c r="D67" s="103" t="s">
        <v>139</v>
      </c>
      <c r="E67" s="107" t="s">
        <v>430</v>
      </c>
      <c r="F67" s="109"/>
      <c r="G67" s="105" t="s">
        <v>155</v>
      </c>
      <c r="H67" s="108">
        <v>-5.15</v>
      </c>
      <c r="I67" s="108">
        <v>-10.199999999999999</v>
      </c>
      <c r="J67" s="108">
        <v>-14.4</v>
      </c>
      <c r="K67" s="108">
        <v>-15.635999999999999</v>
      </c>
      <c r="L67" s="108">
        <v>-7.4</v>
      </c>
      <c r="M67" s="108">
        <v>-13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</row>
    <row r="68" spans="2:18" ht="12" x14ac:dyDescent="0.2">
      <c r="B68" s="138" t="s">
        <v>156</v>
      </c>
      <c r="C68" s="103" t="s">
        <v>154</v>
      </c>
      <c r="D68" s="103" t="s">
        <v>135</v>
      </c>
      <c r="E68" s="107" t="s">
        <v>14</v>
      </c>
      <c r="F68" s="109"/>
      <c r="G68" s="105" t="s">
        <v>157</v>
      </c>
      <c r="H68" s="108">
        <v>3.1640000000000001</v>
      </c>
      <c r="I68" s="108">
        <v>6.6970000000000001</v>
      </c>
      <c r="J68" s="108">
        <v>10.823</v>
      </c>
      <c r="K68" s="108">
        <v>14.91</v>
      </c>
      <c r="L68" s="108">
        <v>13.695</v>
      </c>
      <c r="M68" s="108">
        <v>10</v>
      </c>
      <c r="N68" s="108">
        <v>9</v>
      </c>
      <c r="O68" s="108">
        <v>0</v>
      </c>
      <c r="P68" s="108">
        <v>0</v>
      </c>
      <c r="Q68" s="108">
        <v>0</v>
      </c>
      <c r="R68" s="108">
        <v>0</v>
      </c>
    </row>
    <row r="69" spans="2:18" ht="12" x14ac:dyDescent="0.2">
      <c r="B69" s="138" t="s">
        <v>158</v>
      </c>
      <c r="C69" s="103" t="s">
        <v>146</v>
      </c>
      <c r="D69" s="103" t="s">
        <v>135</v>
      </c>
      <c r="E69" s="107" t="s">
        <v>14</v>
      </c>
      <c r="F69" s="109"/>
      <c r="G69" s="105" t="s">
        <v>159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</row>
    <row r="70" spans="2:18" ht="12" x14ac:dyDescent="0.2">
      <c r="B70" s="138" t="s">
        <v>160</v>
      </c>
      <c r="C70" s="121" t="s">
        <v>161</v>
      </c>
      <c r="D70" s="103"/>
      <c r="E70" s="107" t="s">
        <v>429</v>
      </c>
      <c r="F70" s="109"/>
      <c r="G70" s="105" t="s">
        <v>110</v>
      </c>
      <c r="H70" s="108">
        <v>0.628</v>
      </c>
      <c r="I70" s="108">
        <v>1.6970000000000001</v>
      </c>
      <c r="J70" s="108">
        <v>0.26700000000000002</v>
      </c>
      <c r="K70" s="108">
        <v>0.23699999999999999</v>
      </c>
      <c r="L70" s="108">
        <v>0.97</v>
      </c>
      <c r="M70" s="108">
        <v>1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</row>
    <row r="71" spans="2:18" x14ac:dyDescent="0.2">
      <c r="B71" s="138" t="s">
        <v>162</v>
      </c>
      <c r="D71" s="103"/>
      <c r="E71" s="109"/>
      <c r="F71" s="109"/>
      <c r="G71" s="93" t="s">
        <v>163</v>
      </c>
      <c r="H71" s="102">
        <f t="shared" ref="H71:R71" si="16">SUM(H58:H70)</f>
        <v>900.74599999999998</v>
      </c>
      <c r="I71" s="102">
        <f t="shared" si="16"/>
        <v>909.74799999999993</v>
      </c>
      <c r="J71" s="102">
        <f t="shared" si="16"/>
        <v>897.28</v>
      </c>
      <c r="K71" s="102">
        <f t="shared" si="16"/>
        <v>975.36400000000003</v>
      </c>
      <c r="L71" s="102">
        <f t="shared" si="16"/>
        <v>553.48800000000006</v>
      </c>
      <c r="M71" s="102">
        <f t="shared" si="16"/>
        <v>397</v>
      </c>
      <c r="N71" s="102">
        <f t="shared" si="16"/>
        <v>51</v>
      </c>
      <c r="O71" s="102">
        <f t="shared" si="16"/>
        <v>0</v>
      </c>
      <c r="P71" s="102">
        <f t="shared" si="16"/>
        <v>0</v>
      </c>
      <c r="Q71" s="102">
        <f t="shared" si="16"/>
        <v>0</v>
      </c>
      <c r="R71" s="102">
        <f t="shared" si="16"/>
        <v>0</v>
      </c>
    </row>
    <row r="72" spans="2:18" x14ac:dyDescent="0.2">
      <c r="D72" s="103"/>
    </row>
    <row r="73" spans="2:18" x14ac:dyDescent="0.2">
      <c r="D73" s="136" t="s">
        <v>123</v>
      </c>
      <c r="E73" s="137" t="s">
        <v>3</v>
      </c>
      <c r="F73" s="104"/>
      <c r="G73" s="98" t="s">
        <v>164</v>
      </c>
      <c r="H73" s="129">
        <f t="shared" ref="H73:R73" si="17">H57</f>
        <v>2011</v>
      </c>
      <c r="I73" s="129">
        <f t="shared" si="17"/>
        <v>2012</v>
      </c>
      <c r="J73" s="129">
        <f t="shared" si="17"/>
        <v>2013</v>
      </c>
      <c r="K73" s="129">
        <f t="shared" si="17"/>
        <v>2014</v>
      </c>
      <c r="L73" s="129">
        <f t="shared" si="17"/>
        <v>2015</v>
      </c>
      <c r="M73" s="129">
        <f t="shared" si="17"/>
        <v>2016</v>
      </c>
      <c r="N73" s="129">
        <f t="shared" si="17"/>
        <v>2017</v>
      </c>
      <c r="O73" s="129">
        <f t="shared" si="17"/>
        <v>2018</v>
      </c>
      <c r="P73" s="129">
        <f t="shared" si="17"/>
        <v>2019</v>
      </c>
      <c r="Q73" s="129">
        <f t="shared" si="17"/>
        <v>2020</v>
      </c>
      <c r="R73" s="129">
        <f t="shared" si="17"/>
        <v>2021</v>
      </c>
    </row>
    <row r="74" spans="2:18" ht="12" x14ac:dyDescent="0.2">
      <c r="B74" s="89" t="s">
        <v>165</v>
      </c>
      <c r="C74" s="103" t="s">
        <v>166</v>
      </c>
      <c r="D74" s="103" t="s">
        <v>131</v>
      </c>
      <c r="E74" s="107" t="s">
        <v>14</v>
      </c>
      <c r="G74" s="101" t="s">
        <v>167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</row>
    <row r="75" spans="2:18" ht="12" x14ac:dyDescent="0.2">
      <c r="B75" s="89" t="s">
        <v>168</v>
      </c>
      <c r="C75" s="103" t="s">
        <v>166</v>
      </c>
      <c r="D75" s="103" t="s">
        <v>127</v>
      </c>
      <c r="E75" s="107" t="s">
        <v>430</v>
      </c>
      <c r="F75" s="109"/>
      <c r="G75" s="105" t="s">
        <v>169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</row>
    <row r="76" spans="2:18" ht="12" x14ac:dyDescent="0.2">
      <c r="B76" s="89" t="s">
        <v>170</v>
      </c>
      <c r="C76" s="103" t="s">
        <v>171</v>
      </c>
      <c r="D76" s="103" t="s">
        <v>135</v>
      </c>
      <c r="E76" s="107" t="s">
        <v>14</v>
      </c>
      <c r="G76" s="105" t="s">
        <v>172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</row>
    <row r="77" spans="2:18" ht="12" x14ac:dyDescent="0.2">
      <c r="B77" s="89" t="s">
        <v>173</v>
      </c>
      <c r="C77" s="103" t="s">
        <v>171</v>
      </c>
      <c r="D77" s="103" t="s">
        <v>139</v>
      </c>
      <c r="E77" s="107" t="s">
        <v>430</v>
      </c>
      <c r="F77" s="109"/>
      <c r="G77" s="105" t="s">
        <v>174</v>
      </c>
      <c r="H77" s="108">
        <v>-929.48900000000003</v>
      </c>
      <c r="I77" s="108">
        <v>-942.68499999999995</v>
      </c>
      <c r="J77" s="108">
        <v>-971.98400000000004</v>
      </c>
      <c r="K77" s="108">
        <v>-978.74300000000005</v>
      </c>
      <c r="L77" s="108">
        <v>-593.22299999999996</v>
      </c>
      <c r="M77" s="108">
        <v>-441</v>
      </c>
      <c r="N77" s="108">
        <v>-42</v>
      </c>
      <c r="O77" s="108">
        <v>0</v>
      </c>
      <c r="P77" s="108">
        <v>0</v>
      </c>
      <c r="Q77" s="108">
        <v>0</v>
      </c>
      <c r="R77" s="108">
        <v>0</v>
      </c>
    </row>
    <row r="78" spans="2:18" ht="12" x14ac:dyDescent="0.2">
      <c r="B78" s="89" t="s">
        <v>175</v>
      </c>
      <c r="C78" s="103" t="s">
        <v>176</v>
      </c>
      <c r="D78" s="103" t="s">
        <v>139</v>
      </c>
      <c r="E78" s="107" t="s">
        <v>430</v>
      </c>
      <c r="F78" s="109"/>
      <c r="G78" s="105" t="s">
        <v>177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</row>
    <row r="79" spans="2:18" ht="12" x14ac:dyDescent="0.2">
      <c r="B79" s="89" t="s">
        <v>178</v>
      </c>
      <c r="C79" s="103" t="s">
        <v>179</v>
      </c>
      <c r="D79" s="103" t="s">
        <v>139</v>
      </c>
      <c r="E79" s="107" t="s">
        <v>430</v>
      </c>
      <c r="F79" s="109"/>
      <c r="G79" s="105" t="s">
        <v>180</v>
      </c>
      <c r="H79" s="108">
        <v>-77.393000000000001</v>
      </c>
      <c r="I79" s="108">
        <v>-49.749000000000002</v>
      </c>
      <c r="J79" s="108">
        <v>-18.488</v>
      </c>
      <c r="K79" s="108">
        <v>-11.888</v>
      </c>
      <c r="L79" s="108">
        <v>-4.5949999999999998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</row>
    <row r="80" spans="2:18" ht="12" x14ac:dyDescent="0.2">
      <c r="B80" s="89" t="s">
        <v>181</v>
      </c>
      <c r="C80" s="103" t="s">
        <v>182</v>
      </c>
      <c r="D80" s="103" t="s">
        <v>139</v>
      </c>
      <c r="E80" s="107" t="s">
        <v>430</v>
      </c>
      <c r="F80" s="109"/>
      <c r="G80" s="105" t="s">
        <v>183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</row>
    <row r="81" spans="1:18" ht="12" x14ac:dyDescent="0.2">
      <c r="B81" s="89" t="s">
        <v>184</v>
      </c>
      <c r="C81" s="103" t="s">
        <v>55</v>
      </c>
      <c r="D81" s="103" t="s">
        <v>139</v>
      </c>
      <c r="E81" s="107" t="s">
        <v>430</v>
      </c>
      <c r="F81" s="109"/>
      <c r="G81" s="105" t="s">
        <v>185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</row>
    <row r="82" spans="1:18" ht="12" x14ac:dyDescent="0.2">
      <c r="B82" s="89" t="s">
        <v>186</v>
      </c>
      <c r="C82" s="103" t="s">
        <v>187</v>
      </c>
      <c r="D82" s="103" t="s">
        <v>135</v>
      </c>
      <c r="E82" s="107" t="s">
        <v>14</v>
      </c>
      <c r="G82" s="105" t="s">
        <v>188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</row>
    <row r="83" spans="1:18" ht="12" x14ac:dyDescent="0.2">
      <c r="B83" s="89" t="s">
        <v>189</v>
      </c>
      <c r="C83" s="103" t="s">
        <v>187</v>
      </c>
      <c r="D83" s="103" t="s">
        <v>139</v>
      </c>
      <c r="E83" s="107" t="s">
        <v>430</v>
      </c>
      <c r="F83" s="109"/>
      <c r="G83" s="105" t="s">
        <v>190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0</v>
      </c>
      <c r="Q83" s="108">
        <v>0</v>
      </c>
      <c r="R83" s="108">
        <v>0</v>
      </c>
    </row>
    <row r="84" spans="1:18" ht="12" x14ac:dyDescent="0.2">
      <c r="B84" s="89" t="s">
        <v>191</v>
      </c>
      <c r="C84" s="106">
        <v>68</v>
      </c>
      <c r="D84" s="103" t="s">
        <v>139</v>
      </c>
      <c r="E84" s="107" t="s">
        <v>430</v>
      </c>
      <c r="F84" s="109"/>
      <c r="G84" s="143" t="s">
        <v>114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</row>
    <row r="85" spans="1:18" x14ac:dyDescent="0.2">
      <c r="B85" s="89" t="s">
        <v>192</v>
      </c>
      <c r="G85" s="143" t="s">
        <v>163</v>
      </c>
      <c r="H85" s="102">
        <f t="shared" ref="H85:R85" si="18">SUM(H74:H84)</f>
        <v>-1006.8820000000001</v>
      </c>
      <c r="I85" s="102">
        <f t="shared" si="18"/>
        <v>-992.43399999999997</v>
      </c>
      <c r="J85" s="102">
        <f t="shared" si="18"/>
        <v>-990.47199999999998</v>
      </c>
      <c r="K85" s="102">
        <f t="shared" si="18"/>
        <v>-990.63100000000009</v>
      </c>
      <c r="L85" s="102">
        <f t="shared" si="18"/>
        <v>-597.81799999999998</v>
      </c>
      <c r="M85" s="102">
        <f t="shared" si="18"/>
        <v>-441</v>
      </c>
      <c r="N85" s="102">
        <f t="shared" si="18"/>
        <v>-42</v>
      </c>
      <c r="O85" s="102">
        <f t="shared" si="18"/>
        <v>0</v>
      </c>
      <c r="P85" s="102">
        <f t="shared" si="18"/>
        <v>0</v>
      </c>
      <c r="Q85" s="102">
        <f t="shared" si="18"/>
        <v>0</v>
      </c>
      <c r="R85" s="102">
        <f t="shared" si="18"/>
        <v>0</v>
      </c>
    </row>
    <row r="87" spans="1:18" x14ac:dyDescent="0.2">
      <c r="A87" s="110" t="s">
        <v>0</v>
      </c>
      <c r="D87" s="1189" t="s">
        <v>193</v>
      </c>
      <c r="E87" s="1189"/>
      <c r="G87" s="98" t="s">
        <v>194</v>
      </c>
      <c r="H87" s="129">
        <f t="shared" ref="H87:R87" si="19">H32</f>
        <v>2011</v>
      </c>
      <c r="I87" s="129">
        <f t="shared" si="19"/>
        <v>2012</v>
      </c>
      <c r="J87" s="129">
        <f t="shared" si="19"/>
        <v>2013</v>
      </c>
      <c r="K87" s="129">
        <f t="shared" si="19"/>
        <v>2014</v>
      </c>
      <c r="L87" s="129">
        <f t="shared" si="19"/>
        <v>2015</v>
      </c>
      <c r="M87" s="129">
        <f t="shared" si="19"/>
        <v>2016</v>
      </c>
      <c r="N87" s="129">
        <f t="shared" si="19"/>
        <v>2017</v>
      </c>
      <c r="O87" s="129">
        <f t="shared" si="19"/>
        <v>2018</v>
      </c>
      <c r="P87" s="129">
        <f t="shared" si="19"/>
        <v>2019</v>
      </c>
      <c r="Q87" s="129">
        <f t="shared" si="19"/>
        <v>2020</v>
      </c>
      <c r="R87" s="129">
        <f t="shared" si="19"/>
        <v>2021</v>
      </c>
    </row>
    <row r="88" spans="1:18" x14ac:dyDescent="0.2">
      <c r="A88" s="103" t="s">
        <v>195</v>
      </c>
      <c r="B88" s="89" t="s">
        <v>196</v>
      </c>
      <c r="C88" s="103" t="s">
        <v>197</v>
      </c>
      <c r="E88" s="144"/>
      <c r="G88" s="101" t="s">
        <v>198</v>
      </c>
      <c r="H88" s="102">
        <f t="shared" ref="H88:R88" si="20">H46+H71</f>
        <v>326.35999999999956</v>
      </c>
      <c r="I88" s="102">
        <f t="shared" si="20"/>
        <v>463.8850000000001</v>
      </c>
      <c r="J88" s="102">
        <f t="shared" si="20"/>
        <v>222.423</v>
      </c>
      <c r="K88" s="102">
        <f t="shared" si="20"/>
        <v>532.33099999999968</v>
      </c>
      <c r="L88" s="102">
        <f t="shared" si="20"/>
        <v>129.60700000000065</v>
      </c>
      <c r="M88" s="102">
        <f t="shared" si="20"/>
        <v>-11</v>
      </c>
      <c r="N88" s="102">
        <f t="shared" si="20"/>
        <v>-573</v>
      </c>
      <c r="O88" s="102">
        <f t="shared" si="20"/>
        <v>-449</v>
      </c>
      <c r="P88" s="102">
        <f t="shared" si="20"/>
        <v>-686</v>
      </c>
      <c r="Q88" s="102">
        <f t="shared" si="20"/>
        <v>-531</v>
      </c>
      <c r="R88" s="102">
        <f t="shared" si="20"/>
        <v>-472</v>
      </c>
    </row>
    <row r="89" spans="1:18" x14ac:dyDescent="0.2">
      <c r="A89" s="103" t="s">
        <v>199</v>
      </c>
      <c r="B89" s="89" t="s">
        <v>200</v>
      </c>
      <c r="C89" s="103" t="s">
        <v>201</v>
      </c>
      <c r="E89" s="144"/>
      <c r="G89" s="101" t="s">
        <v>202</v>
      </c>
      <c r="H89" s="145">
        <f t="shared" ref="H89:R89" si="21">H33+H38+H41-H45</f>
        <v>146.21699999999953</v>
      </c>
      <c r="I89" s="102">
        <f t="shared" si="21"/>
        <v>295.59400000000016</v>
      </c>
      <c r="J89" s="102">
        <f t="shared" si="21"/>
        <v>50.137000000000057</v>
      </c>
      <c r="K89" s="102">
        <f t="shared" si="21"/>
        <v>41.133999999999617</v>
      </c>
      <c r="L89" s="102">
        <f t="shared" si="21"/>
        <v>15.57600000000059</v>
      </c>
      <c r="M89" s="102">
        <f t="shared" si="21"/>
        <v>49</v>
      </c>
      <c r="N89" s="102">
        <f t="shared" si="21"/>
        <v>-179</v>
      </c>
      <c r="O89" s="102">
        <f t="shared" si="21"/>
        <v>37</v>
      </c>
      <c r="P89" s="102">
        <f t="shared" si="21"/>
        <v>-204</v>
      </c>
      <c r="Q89" s="102">
        <f t="shared" si="21"/>
        <v>-55</v>
      </c>
      <c r="R89" s="102">
        <f t="shared" si="21"/>
        <v>0</v>
      </c>
    </row>
    <row r="90" spans="1:18" x14ac:dyDescent="0.2">
      <c r="A90" s="103" t="s">
        <v>203</v>
      </c>
      <c r="B90" s="89" t="s">
        <v>204</v>
      </c>
      <c r="C90" s="103" t="s">
        <v>205</v>
      </c>
      <c r="E90" s="146">
        <v>0</v>
      </c>
      <c r="G90" s="143" t="s">
        <v>206</v>
      </c>
      <c r="H90" s="147">
        <f t="shared" ref="H90:R90" si="22">H89/H33</f>
        <v>5.3297169345370175E-2</v>
      </c>
      <c r="I90" s="148">
        <f t="shared" si="22"/>
        <v>9.4085121390094562E-2</v>
      </c>
      <c r="J90" s="148">
        <f t="shared" si="22"/>
        <v>1.7439290142941884E-2</v>
      </c>
      <c r="K90" s="148">
        <f t="shared" si="22"/>
        <v>1.2826521407106762E-2</v>
      </c>
      <c r="L90" s="148">
        <f t="shared" si="22"/>
        <v>4.744260422615827E-3</v>
      </c>
      <c r="M90" s="148">
        <f t="shared" si="22"/>
        <v>1.4202898550724638E-2</v>
      </c>
      <c r="N90" s="148">
        <f t="shared" si="22"/>
        <v>-5.2110625909752545E-2</v>
      </c>
      <c r="O90" s="148">
        <f t="shared" si="22"/>
        <v>7.4581737552912716E-3</v>
      </c>
      <c r="P90" s="148">
        <f t="shared" si="22"/>
        <v>-4.0157480314960629E-2</v>
      </c>
      <c r="Q90" s="148">
        <f t="shared" si="22"/>
        <v>-1.0536398467432951E-2</v>
      </c>
      <c r="R90" s="148">
        <f t="shared" si="22"/>
        <v>0</v>
      </c>
    </row>
    <row r="91" spans="1:18" x14ac:dyDescent="0.2">
      <c r="A91" s="103" t="s">
        <v>207</v>
      </c>
      <c r="B91" s="89" t="s">
        <v>208</v>
      </c>
      <c r="C91" s="103" t="s">
        <v>209</v>
      </c>
      <c r="E91" s="144"/>
      <c r="G91" s="105" t="s">
        <v>210</v>
      </c>
      <c r="H91" s="149">
        <f t="shared" ref="H91:R91" si="23">-H33/(H38+H41)</f>
        <v>0.82687823160724738</v>
      </c>
      <c r="I91" s="149">
        <f t="shared" si="23"/>
        <v>0.87572230731387113</v>
      </c>
      <c r="J91" s="149">
        <f t="shared" si="23"/>
        <v>0.80988883323633265</v>
      </c>
      <c r="K91" s="149">
        <f t="shared" si="23"/>
        <v>0.878620497306562</v>
      </c>
      <c r="L91" s="149">
        <f t="shared" si="23"/>
        <v>0.8856540831064208</v>
      </c>
      <c r="M91" s="149">
        <f t="shared" si="23"/>
        <v>0.89424572317262829</v>
      </c>
      <c r="N91" s="149">
        <f t="shared" si="23"/>
        <v>0.8462675535846268</v>
      </c>
      <c r="O91" s="149">
        <f t="shared" si="23"/>
        <v>0.91700554528650646</v>
      </c>
      <c r="P91" s="149">
        <f t="shared" si="23"/>
        <v>0.88102670828997576</v>
      </c>
      <c r="Q91" s="149">
        <f t="shared" si="23"/>
        <v>0.90766823161189358</v>
      </c>
      <c r="R91" s="149">
        <f t="shared" si="23"/>
        <v>0.91906721536351166</v>
      </c>
    </row>
    <row r="92" spans="1:18" x14ac:dyDescent="0.2">
      <c r="A92" s="103" t="s">
        <v>211</v>
      </c>
      <c r="B92" s="89" t="s">
        <v>212</v>
      </c>
      <c r="C92" s="103" t="s">
        <v>213</v>
      </c>
      <c r="E92" s="144"/>
      <c r="G92" s="101" t="s">
        <v>214</v>
      </c>
      <c r="H92" s="145">
        <f t="shared" ref="H92:R92" si="24">H46</f>
        <v>-574.38600000000042</v>
      </c>
      <c r="I92" s="145">
        <f t="shared" si="24"/>
        <v>-445.86299999999983</v>
      </c>
      <c r="J92" s="145">
        <f t="shared" si="24"/>
        <v>-674.85699999999997</v>
      </c>
      <c r="K92" s="145">
        <f t="shared" si="24"/>
        <v>-443.03300000000036</v>
      </c>
      <c r="L92" s="145">
        <f t="shared" si="24"/>
        <v>-423.8809999999994</v>
      </c>
      <c r="M92" s="145">
        <f t="shared" si="24"/>
        <v>-408</v>
      </c>
      <c r="N92" s="145">
        <f t="shared" si="24"/>
        <v>-624</v>
      </c>
      <c r="O92" s="145">
        <f t="shared" si="24"/>
        <v>-449</v>
      </c>
      <c r="P92" s="145">
        <f t="shared" si="24"/>
        <v>-686</v>
      </c>
      <c r="Q92" s="145">
        <f t="shared" si="24"/>
        <v>-531</v>
      </c>
      <c r="R92" s="145">
        <f t="shared" si="24"/>
        <v>-472</v>
      </c>
    </row>
    <row r="93" spans="1:18" x14ac:dyDescent="0.2">
      <c r="A93" s="103" t="s">
        <v>215</v>
      </c>
      <c r="B93" s="89" t="s">
        <v>216</v>
      </c>
      <c r="C93" s="103" t="s">
        <v>217</v>
      </c>
      <c r="D93" s="146">
        <v>-0.3</v>
      </c>
      <c r="E93" s="146">
        <v>0</v>
      </c>
      <c r="G93" s="105" t="s">
        <v>218</v>
      </c>
      <c r="H93" s="150">
        <f t="shared" ref="H93:R93" si="25">H46/H33</f>
        <v>-0.20936791147137415</v>
      </c>
      <c r="I93" s="151">
        <f t="shared" si="25"/>
        <v>-0.14191449920618041</v>
      </c>
      <c r="J93" s="151">
        <f t="shared" si="25"/>
        <v>-0.23473736019297758</v>
      </c>
      <c r="K93" s="151">
        <f t="shared" si="25"/>
        <v>-0.13814781588357047</v>
      </c>
      <c r="L93" s="151">
        <f t="shared" si="25"/>
        <v>-0.12910900437845022</v>
      </c>
      <c r="M93" s="151">
        <f t="shared" si="25"/>
        <v>-0.11826086956521739</v>
      </c>
      <c r="N93" s="151">
        <f t="shared" si="25"/>
        <v>-0.18165938864628822</v>
      </c>
      <c r="O93" s="151">
        <f t="shared" si="25"/>
        <v>-9.0505946381777863E-2</v>
      </c>
      <c r="P93" s="151">
        <f t="shared" si="25"/>
        <v>-0.13503937007874015</v>
      </c>
      <c r="Q93" s="151">
        <f t="shared" si="25"/>
        <v>-0.10172413793103448</v>
      </c>
      <c r="R93" s="151">
        <f t="shared" si="25"/>
        <v>-8.8059701492537307E-2</v>
      </c>
    </row>
    <row r="94" spans="1:18" x14ac:dyDescent="0.2">
      <c r="A94" s="103" t="s">
        <v>219</v>
      </c>
      <c r="B94" s="89" t="s">
        <v>220</v>
      </c>
      <c r="C94" s="103" t="s">
        <v>221</v>
      </c>
      <c r="E94" s="144"/>
      <c r="G94" s="143" t="s">
        <v>222</v>
      </c>
      <c r="H94" s="145">
        <f t="shared" ref="H94:R94" si="26">H29+H30</f>
        <v>2523.3209999999999</v>
      </c>
      <c r="I94" s="145">
        <f t="shared" si="26"/>
        <v>2030.585</v>
      </c>
      <c r="J94" s="145">
        <f t="shared" si="26"/>
        <v>1337.8119999999999</v>
      </c>
      <c r="K94" s="145">
        <f t="shared" si="26"/>
        <v>883.4849999999999</v>
      </c>
      <c r="L94" s="145">
        <f t="shared" si="26"/>
        <v>456.971</v>
      </c>
      <c r="M94" s="145">
        <f t="shared" si="26"/>
        <v>50</v>
      </c>
      <c r="N94" s="145">
        <f t="shared" si="26"/>
        <v>-574</v>
      </c>
      <c r="O94" s="145">
        <f t="shared" si="26"/>
        <v>-1023</v>
      </c>
      <c r="P94" s="145">
        <f t="shared" si="26"/>
        <v>-1709</v>
      </c>
      <c r="Q94" s="145">
        <f t="shared" si="26"/>
        <v>-2240</v>
      </c>
      <c r="R94" s="145">
        <f t="shared" si="26"/>
        <v>-2712</v>
      </c>
    </row>
    <row r="95" spans="1:18" x14ac:dyDescent="0.2">
      <c r="G95" s="152" t="s">
        <v>223</v>
      </c>
      <c r="H95" s="129">
        <f t="shared" ref="H95:R95" si="27">H87</f>
        <v>2011</v>
      </c>
      <c r="I95" s="129">
        <f t="shared" si="27"/>
        <v>2012</v>
      </c>
      <c r="J95" s="129">
        <f t="shared" si="27"/>
        <v>2013</v>
      </c>
      <c r="K95" s="129">
        <f t="shared" si="27"/>
        <v>2014</v>
      </c>
      <c r="L95" s="129">
        <f t="shared" si="27"/>
        <v>2015</v>
      </c>
      <c r="M95" s="129">
        <f t="shared" si="27"/>
        <v>2016</v>
      </c>
      <c r="N95" s="129">
        <f t="shared" si="27"/>
        <v>2017</v>
      </c>
      <c r="O95" s="129">
        <f t="shared" si="27"/>
        <v>2018</v>
      </c>
      <c r="P95" s="129">
        <f t="shared" si="27"/>
        <v>2019</v>
      </c>
      <c r="Q95" s="129">
        <f t="shared" si="27"/>
        <v>2020</v>
      </c>
      <c r="R95" s="129">
        <f t="shared" si="27"/>
        <v>2021</v>
      </c>
    </row>
    <row r="96" spans="1:18" x14ac:dyDescent="0.2">
      <c r="A96" s="103" t="s">
        <v>224</v>
      </c>
      <c r="B96" s="89" t="s">
        <v>225</v>
      </c>
      <c r="C96" s="106" t="s">
        <v>226</v>
      </c>
      <c r="E96" s="144"/>
      <c r="F96" s="153"/>
      <c r="G96" s="101" t="s">
        <v>227</v>
      </c>
      <c r="H96" s="145">
        <f t="shared" ref="H96:R96" si="28">H6+H12</f>
        <v>657.61800000000005</v>
      </c>
      <c r="I96" s="102">
        <f t="shared" si="28"/>
        <v>697.37099999999998</v>
      </c>
      <c r="J96" s="102">
        <f t="shared" si="28"/>
        <v>681.79700000000003</v>
      </c>
      <c r="K96" s="102">
        <f t="shared" si="28"/>
        <v>695.91200000000003</v>
      </c>
      <c r="L96" s="102">
        <f t="shared" si="28"/>
        <v>722.11400000000003</v>
      </c>
      <c r="M96" s="102">
        <f t="shared" si="28"/>
        <v>690</v>
      </c>
      <c r="N96" s="102">
        <f t="shared" si="28"/>
        <v>500</v>
      </c>
      <c r="O96" s="102">
        <f t="shared" si="28"/>
        <v>400</v>
      </c>
      <c r="P96" s="102">
        <f t="shared" si="28"/>
        <v>300</v>
      </c>
      <c r="Q96" s="102">
        <f t="shared" si="28"/>
        <v>300</v>
      </c>
      <c r="R96" s="102">
        <f t="shared" si="28"/>
        <v>300</v>
      </c>
    </row>
    <row r="97" spans="1:18" x14ac:dyDescent="0.2">
      <c r="A97" s="103" t="s">
        <v>228</v>
      </c>
      <c r="B97" s="89" t="s">
        <v>229</v>
      </c>
      <c r="C97" s="103" t="s">
        <v>45</v>
      </c>
      <c r="E97" s="144"/>
      <c r="F97" s="153"/>
      <c r="G97" s="105" t="s">
        <v>230</v>
      </c>
      <c r="H97" s="145">
        <f t="shared" ref="H97:R97" si="29">H19</f>
        <v>4612.0259999999998</v>
      </c>
      <c r="I97" s="145">
        <f t="shared" si="29"/>
        <v>3758.14</v>
      </c>
      <c r="J97" s="145">
        <f t="shared" si="29"/>
        <v>2856.0740000000001</v>
      </c>
      <c r="K97" s="145">
        <f t="shared" si="29"/>
        <v>1911.81</v>
      </c>
      <c r="L97" s="145">
        <f t="shared" si="29"/>
        <v>1345.7250000000001</v>
      </c>
      <c r="M97" s="145">
        <f t="shared" si="29"/>
        <v>905</v>
      </c>
      <c r="N97" s="145">
        <f t="shared" si="29"/>
        <v>788</v>
      </c>
      <c r="O97" s="145">
        <f t="shared" si="29"/>
        <v>695</v>
      </c>
      <c r="P97" s="145">
        <f t="shared" si="29"/>
        <v>813</v>
      </c>
      <c r="Q97" s="145">
        <f t="shared" si="29"/>
        <v>800</v>
      </c>
      <c r="R97" s="145">
        <f t="shared" si="29"/>
        <v>1345</v>
      </c>
    </row>
    <row r="98" spans="1:18" x14ac:dyDescent="0.2">
      <c r="A98" s="103" t="s">
        <v>231</v>
      </c>
      <c r="B98" s="89" t="s">
        <v>232</v>
      </c>
      <c r="C98" s="103" t="s">
        <v>233</v>
      </c>
      <c r="E98" s="144"/>
      <c r="F98" s="153"/>
      <c r="G98" s="105" t="s">
        <v>234</v>
      </c>
      <c r="H98" s="145">
        <f t="shared" ref="H98:R98" si="30">H97-H96</f>
        <v>3954.4079999999999</v>
      </c>
      <c r="I98" s="102">
        <f t="shared" si="30"/>
        <v>3060.7689999999998</v>
      </c>
      <c r="J98" s="102">
        <f t="shared" si="30"/>
        <v>2174.277</v>
      </c>
      <c r="K98" s="102">
        <f t="shared" si="30"/>
        <v>1215.8979999999999</v>
      </c>
      <c r="L98" s="102">
        <f t="shared" si="30"/>
        <v>623.6110000000001</v>
      </c>
      <c r="M98" s="102">
        <f t="shared" si="30"/>
        <v>215</v>
      </c>
      <c r="N98" s="102">
        <f t="shared" si="30"/>
        <v>288</v>
      </c>
      <c r="O98" s="102">
        <f t="shared" si="30"/>
        <v>295</v>
      </c>
      <c r="P98" s="102">
        <f t="shared" si="30"/>
        <v>513</v>
      </c>
      <c r="Q98" s="102">
        <f t="shared" si="30"/>
        <v>500</v>
      </c>
      <c r="R98" s="102">
        <f t="shared" si="30"/>
        <v>1045</v>
      </c>
    </row>
    <row r="99" spans="1:18" x14ac:dyDescent="0.2">
      <c r="A99" s="103" t="s">
        <v>235</v>
      </c>
      <c r="B99" s="89" t="s">
        <v>236</v>
      </c>
      <c r="C99" s="103" t="s">
        <v>237</v>
      </c>
      <c r="E99" s="146">
        <v>0.4</v>
      </c>
      <c r="F99" s="153"/>
      <c r="G99" s="105" t="s">
        <v>238</v>
      </c>
      <c r="H99" s="154">
        <f t="shared" ref="H99:R99" si="31">H98/H33</f>
        <v>1.4414107308773074</v>
      </c>
      <c r="I99" s="148">
        <f t="shared" si="31"/>
        <v>0.9742174161587791</v>
      </c>
      <c r="J99" s="148">
        <f t="shared" si="31"/>
        <v>0.75628472892524901</v>
      </c>
      <c r="K99" s="148">
        <f t="shared" si="31"/>
        <v>0.37914478839545002</v>
      </c>
      <c r="L99" s="148">
        <f t="shared" si="31"/>
        <v>0.18994433656957929</v>
      </c>
      <c r="M99" s="148">
        <f t="shared" si="31"/>
        <v>6.2318840579710148E-2</v>
      </c>
      <c r="N99" s="148">
        <f t="shared" si="31"/>
        <v>8.3842794759825326E-2</v>
      </c>
      <c r="O99" s="148">
        <f t="shared" si="31"/>
        <v>5.9463817778673655E-2</v>
      </c>
      <c r="P99" s="148">
        <f t="shared" si="31"/>
        <v>0.10098425196850394</v>
      </c>
      <c r="Q99" s="148">
        <f t="shared" si="31"/>
        <v>9.5785440613026823E-2</v>
      </c>
      <c r="R99" s="148">
        <f t="shared" si="31"/>
        <v>0.19496268656716417</v>
      </c>
    </row>
    <row r="100" spans="1:18" x14ac:dyDescent="0.2">
      <c r="A100" s="103" t="s">
        <v>239</v>
      </c>
      <c r="B100" s="89" t="s">
        <v>240</v>
      </c>
      <c r="C100" s="103" t="s">
        <v>241</v>
      </c>
      <c r="D100" s="155">
        <v>0</v>
      </c>
      <c r="E100" s="155">
        <v>5</v>
      </c>
      <c r="F100" s="153"/>
      <c r="G100" s="105" t="s">
        <v>242</v>
      </c>
      <c r="H100" s="149">
        <f t="shared" ref="H100:R100" si="32">H98/H89</f>
        <v>27.0447895935494</v>
      </c>
      <c r="I100" s="149">
        <f t="shared" si="32"/>
        <v>10.354638456802229</v>
      </c>
      <c r="J100" s="149">
        <f t="shared" si="32"/>
        <v>43.366715200350988</v>
      </c>
      <c r="K100" s="149">
        <f t="shared" si="32"/>
        <v>29.559439879418758</v>
      </c>
      <c r="L100" s="149">
        <f t="shared" si="32"/>
        <v>40.036658962504909</v>
      </c>
      <c r="M100" s="149">
        <f t="shared" si="32"/>
        <v>4.3877551020408161</v>
      </c>
      <c r="N100" s="149">
        <f t="shared" si="32"/>
        <v>-1.6089385474860336</v>
      </c>
      <c r="O100" s="149">
        <f t="shared" si="32"/>
        <v>7.9729729729729728</v>
      </c>
      <c r="P100" s="149">
        <f t="shared" si="32"/>
        <v>-2.5147058823529411</v>
      </c>
      <c r="Q100" s="149">
        <f t="shared" si="32"/>
        <v>-9.0909090909090917</v>
      </c>
      <c r="R100" s="149" t="e">
        <f t="shared" si="32"/>
        <v>#DIV/0!</v>
      </c>
    </row>
    <row r="101" spans="1:18" x14ac:dyDescent="0.2">
      <c r="A101" s="103" t="s">
        <v>243</v>
      </c>
      <c r="B101" s="89" t="s">
        <v>244</v>
      </c>
      <c r="C101" s="103" t="s">
        <v>245</v>
      </c>
      <c r="E101" s="144"/>
      <c r="F101" s="153"/>
      <c r="G101" s="105" t="s">
        <v>246</v>
      </c>
      <c r="H101" s="145">
        <f t="shared" ref="H101:R101" si="33">-(H75+H77+H78+H79+H80+H81)</f>
        <v>1006.8820000000001</v>
      </c>
      <c r="I101" s="145">
        <f t="shared" si="33"/>
        <v>992.43399999999997</v>
      </c>
      <c r="J101" s="145">
        <f t="shared" si="33"/>
        <v>990.47199999999998</v>
      </c>
      <c r="K101" s="145">
        <f t="shared" si="33"/>
        <v>990.63100000000009</v>
      </c>
      <c r="L101" s="145">
        <f t="shared" si="33"/>
        <v>597.81799999999998</v>
      </c>
      <c r="M101" s="145">
        <f t="shared" si="33"/>
        <v>441</v>
      </c>
      <c r="N101" s="145">
        <f t="shared" si="33"/>
        <v>42</v>
      </c>
      <c r="O101" s="145">
        <f t="shared" si="33"/>
        <v>0</v>
      </c>
      <c r="P101" s="145">
        <f t="shared" si="33"/>
        <v>0</v>
      </c>
      <c r="Q101" s="145">
        <f t="shared" si="33"/>
        <v>0</v>
      </c>
      <c r="R101" s="145">
        <f t="shared" si="33"/>
        <v>0</v>
      </c>
    </row>
    <row r="102" spans="1:18" x14ac:dyDescent="0.2">
      <c r="A102" s="103" t="s">
        <v>247</v>
      </c>
      <c r="B102" s="89" t="s">
        <v>248</v>
      </c>
      <c r="C102" s="103" t="s">
        <v>249</v>
      </c>
      <c r="E102" s="155">
        <v>1.2</v>
      </c>
      <c r="F102" s="153"/>
      <c r="G102" s="105" t="s">
        <v>250</v>
      </c>
      <c r="H102" s="156">
        <f t="shared" ref="H102:R102" si="34">H89/H101</f>
        <v>0.14521761239152106</v>
      </c>
      <c r="I102" s="149">
        <f t="shared" si="34"/>
        <v>0.2978475142931421</v>
      </c>
      <c r="J102" s="149">
        <f t="shared" si="34"/>
        <v>5.0619300697041472E-2</v>
      </c>
      <c r="K102" s="149">
        <f t="shared" si="34"/>
        <v>4.1523029261147301E-2</v>
      </c>
      <c r="L102" s="149">
        <f t="shared" si="34"/>
        <v>2.6054752449743219E-2</v>
      </c>
      <c r="M102" s="149">
        <f t="shared" si="34"/>
        <v>0.1111111111111111</v>
      </c>
      <c r="N102" s="149">
        <f t="shared" si="34"/>
        <v>-4.2619047619047619</v>
      </c>
      <c r="O102" s="149" t="e">
        <f t="shared" si="34"/>
        <v>#DIV/0!</v>
      </c>
      <c r="P102" s="149" t="e">
        <f t="shared" si="34"/>
        <v>#DIV/0!</v>
      </c>
      <c r="Q102" s="149" t="e">
        <f t="shared" si="34"/>
        <v>#DIV/0!</v>
      </c>
      <c r="R102" s="149" t="e">
        <f t="shared" si="34"/>
        <v>#DIV/0!</v>
      </c>
    </row>
    <row r="103" spans="1:18" x14ac:dyDescent="0.2">
      <c r="A103" s="157" t="s">
        <v>251</v>
      </c>
      <c r="B103" s="89" t="s">
        <v>252</v>
      </c>
      <c r="C103" s="103" t="s">
        <v>253</v>
      </c>
      <c r="E103" s="155">
        <v>0</v>
      </c>
      <c r="F103" s="153"/>
      <c r="G103" s="101" t="s">
        <v>254</v>
      </c>
      <c r="H103" s="145">
        <f t="shared" ref="H103:R103" si="35">H5-H20</f>
        <v>292.68799999999987</v>
      </c>
      <c r="I103" s="145">
        <f t="shared" si="35"/>
        <v>230.05899999999974</v>
      </c>
      <c r="J103" s="145">
        <f t="shared" si="35"/>
        <v>147.67100000000005</v>
      </c>
      <c r="K103" s="145">
        <f t="shared" si="35"/>
        <v>159.62000000000012</v>
      </c>
      <c r="L103" s="145">
        <f t="shared" si="35"/>
        <v>140.5630000000001</v>
      </c>
      <c r="M103" s="145">
        <f t="shared" si="35"/>
        <v>136</v>
      </c>
      <c r="N103" s="145">
        <f t="shared" si="35"/>
        <v>-43</v>
      </c>
      <c r="O103" s="145">
        <f t="shared" si="35"/>
        <v>-50</v>
      </c>
      <c r="P103" s="145">
        <f t="shared" si="35"/>
        <v>-268</v>
      </c>
      <c r="Q103" s="145">
        <f t="shared" si="35"/>
        <v>-255</v>
      </c>
      <c r="R103" s="145">
        <f t="shared" si="35"/>
        <v>-800</v>
      </c>
    </row>
    <row r="104" spans="1:18" x14ac:dyDescent="0.2">
      <c r="A104" s="103" t="s">
        <v>255</v>
      </c>
      <c r="B104" s="89" t="s">
        <v>256</v>
      </c>
      <c r="C104" s="103" t="s">
        <v>257</v>
      </c>
      <c r="E104" s="155">
        <v>1</v>
      </c>
      <c r="F104" s="153"/>
      <c r="G104" s="105" t="s">
        <v>258</v>
      </c>
      <c r="H104" s="156">
        <f t="shared" ref="H104:R104" si="36">H5/H20</f>
        <v>1.185107324909245</v>
      </c>
      <c r="I104" s="156">
        <f t="shared" si="36"/>
        <v>1.1336657076190828</v>
      </c>
      <c r="J104" s="156">
        <f t="shared" si="36"/>
        <v>1.0822411179414408</v>
      </c>
      <c r="K104" s="156">
        <f t="shared" si="36"/>
        <v>1.1117554682254462</v>
      </c>
      <c r="L104" s="156">
        <f t="shared" si="36"/>
        <v>1.1077966049702255</v>
      </c>
      <c r="M104" s="156">
        <f t="shared" si="36"/>
        <v>1.1502762430939226</v>
      </c>
      <c r="N104" s="156">
        <f t="shared" si="36"/>
        <v>0.94543147208121825</v>
      </c>
      <c r="O104" s="156">
        <f t="shared" si="36"/>
        <v>0.92805755395683454</v>
      </c>
      <c r="P104" s="156">
        <f t="shared" si="36"/>
        <v>0.67035670356703569</v>
      </c>
      <c r="Q104" s="156">
        <f t="shared" si="36"/>
        <v>0.68125000000000002</v>
      </c>
      <c r="R104" s="156">
        <f t="shared" si="36"/>
        <v>0.40520446096654272</v>
      </c>
    </row>
    <row r="105" spans="1:18" x14ac:dyDescent="0.2">
      <c r="A105" s="103" t="s">
        <v>259</v>
      </c>
      <c r="B105" s="89" t="s">
        <v>260</v>
      </c>
      <c r="C105" s="103" t="s">
        <v>261</v>
      </c>
      <c r="E105" s="155">
        <v>1</v>
      </c>
      <c r="F105" s="153"/>
      <c r="G105" s="143" t="s">
        <v>262</v>
      </c>
      <c r="H105" s="156">
        <f t="shared" ref="H105:R105" si="37">-H6/((H38+H41-H45+H47)/12)</f>
        <v>2.9520981761252152</v>
      </c>
      <c r="I105" s="156">
        <f t="shared" si="37"/>
        <v>2.8926033821721835</v>
      </c>
      <c r="J105" s="156">
        <f t="shared" si="37"/>
        <v>2.8779605140504163</v>
      </c>
      <c r="K105" s="156">
        <f t="shared" si="37"/>
        <v>2.6284734418848839</v>
      </c>
      <c r="L105" s="156">
        <f t="shared" si="37"/>
        <v>2.6500309488451066</v>
      </c>
      <c r="M105" s="156">
        <f t="shared" si="37"/>
        <v>2.4352941176470591</v>
      </c>
      <c r="N105" s="156">
        <f t="shared" si="37"/>
        <v>1.6602102933038183</v>
      </c>
      <c r="O105" s="156">
        <f t="shared" si="37"/>
        <v>0.97481722177091801</v>
      </c>
      <c r="P105" s="156">
        <f t="shared" si="37"/>
        <v>0.68130204390613169</v>
      </c>
      <c r="Q105" s="156">
        <f t="shared" si="37"/>
        <v>0.68246445497630337</v>
      </c>
      <c r="R105" s="156">
        <f t="shared" si="37"/>
        <v>0.67164179104477606</v>
      </c>
    </row>
    <row r="106" spans="1:18" x14ac:dyDescent="0.2">
      <c r="C106" s="103"/>
      <c r="F106" s="153"/>
      <c r="G106" s="152" t="s">
        <v>263</v>
      </c>
      <c r="H106" s="129">
        <f t="shared" ref="H106:R106" si="38">H95</f>
        <v>2011</v>
      </c>
      <c r="I106" s="129">
        <f t="shared" si="38"/>
        <v>2012</v>
      </c>
      <c r="J106" s="129">
        <f t="shared" si="38"/>
        <v>2013</v>
      </c>
      <c r="K106" s="129">
        <f t="shared" si="38"/>
        <v>2014</v>
      </c>
      <c r="L106" s="129">
        <f t="shared" si="38"/>
        <v>2015</v>
      </c>
      <c r="M106" s="129">
        <f t="shared" si="38"/>
        <v>2016</v>
      </c>
      <c r="N106" s="129">
        <f t="shared" si="38"/>
        <v>2017</v>
      </c>
      <c r="O106" s="129">
        <f t="shared" si="38"/>
        <v>2018</v>
      </c>
      <c r="P106" s="129">
        <f t="shared" si="38"/>
        <v>2019</v>
      </c>
      <c r="Q106" s="129">
        <f t="shared" si="38"/>
        <v>2020</v>
      </c>
      <c r="R106" s="129">
        <f t="shared" si="38"/>
        <v>2021</v>
      </c>
    </row>
    <row r="107" spans="1:18" x14ac:dyDescent="0.2">
      <c r="A107" s="103" t="s">
        <v>264</v>
      </c>
      <c r="B107" s="89" t="s">
        <v>265</v>
      </c>
      <c r="C107" s="103" t="s">
        <v>266</v>
      </c>
      <c r="E107" s="146">
        <v>0.6</v>
      </c>
      <c r="F107" s="153"/>
      <c r="G107" s="101" t="s">
        <v>267</v>
      </c>
      <c r="H107" s="154">
        <f t="shared" ref="H107:R107" si="39">H17/H4</f>
        <v>0</v>
      </c>
      <c r="I107" s="154">
        <f t="shared" si="39"/>
        <v>0</v>
      </c>
      <c r="J107" s="154">
        <f t="shared" si="39"/>
        <v>0</v>
      </c>
      <c r="K107" s="154">
        <f t="shared" si="39"/>
        <v>0</v>
      </c>
      <c r="L107" s="154">
        <f t="shared" si="39"/>
        <v>0</v>
      </c>
      <c r="M107" s="154">
        <f t="shared" si="39"/>
        <v>0</v>
      </c>
      <c r="N107" s="154">
        <f t="shared" si="39"/>
        <v>0</v>
      </c>
      <c r="O107" s="154">
        <f t="shared" si="39"/>
        <v>0</v>
      </c>
      <c r="P107" s="154">
        <f t="shared" si="39"/>
        <v>0</v>
      </c>
      <c r="Q107" s="154">
        <f t="shared" si="39"/>
        <v>0</v>
      </c>
      <c r="R107" s="154">
        <f t="shared" si="39"/>
        <v>0</v>
      </c>
    </row>
    <row r="108" spans="1:18" x14ac:dyDescent="0.2">
      <c r="A108" s="103" t="s">
        <v>268</v>
      </c>
      <c r="B108" s="89" t="s">
        <v>269</v>
      </c>
      <c r="C108" s="103" t="s">
        <v>270</v>
      </c>
      <c r="E108" s="146">
        <v>0.4</v>
      </c>
      <c r="F108" s="153"/>
      <c r="G108" s="143" t="s">
        <v>271</v>
      </c>
      <c r="H108" s="154" t="e">
        <f t="shared" ref="H108:R108" si="40">H27/H17</f>
        <v>#DIV/0!</v>
      </c>
      <c r="I108" s="154" t="e">
        <f t="shared" si="40"/>
        <v>#DIV/0!</v>
      </c>
      <c r="J108" s="154" t="e">
        <f t="shared" si="40"/>
        <v>#DIV/0!</v>
      </c>
      <c r="K108" s="154" t="e">
        <f t="shared" si="40"/>
        <v>#DIV/0!</v>
      </c>
      <c r="L108" s="154" t="e">
        <f t="shared" si="40"/>
        <v>#DIV/0!</v>
      </c>
      <c r="M108" s="154" t="e">
        <f t="shared" si="40"/>
        <v>#DIV/0!</v>
      </c>
      <c r="N108" s="154" t="e">
        <f t="shared" si="40"/>
        <v>#DIV/0!</v>
      </c>
      <c r="O108" s="154" t="e">
        <f t="shared" si="40"/>
        <v>#DIV/0!</v>
      </c>
      <c r="P108" s="154" t="e">
        <f t="shared" si="40"/>
        <v>#DIV/0!</v>
      </c>
      <c r="Q108" s="154" t="e">
        <f t="shared" si="40"/>
        <v>#DIV/0!</v>
      </c>
      <c r="R108" s="154" t="e">
        <f t="shared" si="40"/>
        <v>#DIV/0!</v>
      </c>
    </row>
    <row r="109" spans="1:18" x14ac:dyDescent="0.2">
      <c r="C109" s="103"/>
      <c r="F109" s="153"/>
      <c r="G109" s="158" t="s">
        <v>272</v>
      </c>
      <c r="H109" s="129">
        <f t="shared" ref="H109:R109" si="41">H95</f>
        <v>2011</v>
      </c>
      <c r="I109" s="129">
        <f t="shared" si="41"/>
        <v>2012</v>
      </c>
      <c r="J109" s="129">
        <f t="shared" si="41"/>
        <v>2013</v>
      </c>
      <c r="K109" s="129">
        <f t="shared" si="41"/>
        <v>2014</v>
      </c>
      <c r="L109" s="129">
        <f t="shared" si="41"/>
        <v>2015</v>
      </c>
      <c r="M109" s="129">
        <f t="shared" si="41"/>
        <v>2016</v>
      </c>
      <c r="N109" s="129">
        <f t="shared" si="41"/>
        <v>2017</v>
      </c>
      <c r="O109" s="129">
        <f t="shared" si="41"/>
        <v>2018</v>
      </c>
      <c r="P109" s="129">
        <f t="shared" si="41"/>
        <v>2019</v>
      </c>
      <c r="Q109" s="129">
        <f t="shared" si="41"/>
        <v>2020</v>
      </c>
      <c r="R109" s="129">
        <f t="shared" si="41"/>
        <v>2021</v>
      </c>
    </row>
    <row r="110" spans="1:18" x14ac:dyDescent="0.2">
      <c r="A110" s="103" t="s">
        <v>273</v>
      </c>
      <c r="B110" s="89" t="s">
        <v>274</v>
      </c>
      <c r="C110" s="159" t="s">
        <v>275</v>
      </c>
      <c r="E110" s="144"/>
      <c r="F110" s="153"/>
      <c r="G110" s="105" t="s">
        <v>276</v>
      </c>
      <c r="H110" s="160">
        <f t="shared" ref="H110:R110" si="42">H10/H4</f>
        <v>0.86839395960168453</v>
      </c>
      <c r="I110" s="160">
        <f t="shared" si="42"/>
        <v>0.84865320573073055</v>
      </c>
      <c r="J110" s="160">
        <f t="shared" si="42"/>
        <v>0.82799196422422772</v>
      </c>
      <c r="K110" s="160">
        <f t="shared" si="42"/>
        <v>0.83958630904666354</v>
      </c>
      <c r="L110" s="160">
        <f t="shared" si="42"/>
        <v>0.83780805626407495</v>
      </c>
      <c r="M110" s="160">
        <f t="shared" si="42"/>
        <v>0.87082764610993924</v>
      </c>
      <c r="N110" s="160">
        <f t="shared" si="42"/>
        <v>0.89819622847772618</v>
      </c>
      <c r="O110" s="160">
        <f t="shared" si="42"/>
        <v>0.90481109799291615</v>
      </c>
      <c r="P110" s="160">
        <f t="shared" si="42"/>
        <v>0.91221005154639179</v>
      </c>
      <c r="Q110" s="160">
        <f t="shared" si="42"/>
        <v>0.90377824858757061</v>
      </c>
      <c r="R110" s="160">
        <f t="shared" si="42"/>
        <v>0.90500261460693743</v>
      </c>
    </row>
    <row r="111" spans="1:18" x14ac:dyDescent="0.2">
      <c r="A111" s="103" t="s">
        <v>277</v>
      </c>
      <c r="B111" s="89" t="s">
        <v>278</v>
      </c>
      <c r="C111" s="159" t="s">
        <v>279</v>
      </c>
      <c r="E111" s="144"/>
      <c r="F111" s="153"/>
      <c r="G111" s="105" t="s">
        <v>280</v>
      </c>
      <c r="H111" s="160">
        <f t="shared" ref="H111:R111" si="43">-(H58)/H15</f>
        <v>3.237751294089322E-3</v>
      </c>
      <c r="I111" s="160">
        <f t="shared" si="43"/>
        <v>3.7864402392078205E-3</v>
      </c>
      <c r="J111" s="160">
        <f t="shared" si="43"/>
        <v>1.1062473270325147E-2</v>
      </c>
      <c r="K111" s="160">
        <f t="shared" si="43"/>
        <v>2.2822773022413288E-3</v>
      </c>
      <c r="L111" s="160">
        <f t="shared" si="43"/>
        <v>4.3012225617928175E-3</v>
      </c>
      <c r="M111" s="160">
        <f t="shared" si="43"/>
        <v>6.269592476489028E-3</v>
      </c>
      <c r="N111" s="160">
        <f t="shared" si="43"/>
        <v>1.7647953750190171E-2</v>
      </c>
      <c r="O111" s="160">
        <f t="shared" si="43"/>
        <v>7.3397488174849123E-3</v>
      </c>
      <c r="P111" s="160">
        <f t="shared" si="43"/>
        <v>6.7102242627582548E-2</v>
      </c>
      <c r="Q111" s="160">
        <f t="shared" si="43"/>
        <v>1.8753662824770465E-2</v>
      </c>
      <c r="R111" s="160">
        <f t="shared" si="43"/>
        <v>0</v>
      </c>
    </row>
    <row r="112" spans="1:18" x14ac:dyDescent="0.2">
      <c r="A112" s="103" t="s">
        <v>281</v>
      </c>
      <c r="B112" s="89" t="s">
        <v>282</v>
      </c>
      <c r="C112" s="103" t="s">
        <v>283</v>
      </c>
      <c r="E112" s="144"/>
      <c r="F112" s="153"/>
      <c r="G112" s="101" t="s">
        <v>284</v>
      </c>
      <c r="H112" s="149">
        <f t="shared" ref="H112:R112" si="44">H33/H4</f>
        <v>0.19267730053766327</v>
      </c>
      <c r="I112" s="149">
        <f t="shared" si="44"/>
        <v>0.2436933373812219</v>
      </c>
      <c r="J112" s="149">
        <f t="shared" si="44"/>
        <v>0.25447670710224002</v>
      </c>
      <c r="K112" s="149">
        <f t="shared" si="44"/>
        <v>0.32397066458077561</v>
      </c>
      <c r="L112" s="149">
        <f t="shared" si="44"/>
        <v>0.36863004751587281</v>
      </c>
      <c r="M112" s="149">
        <f t="shared" si="44"/>
        <v>0.42809281548579226</v>
      </c>
      <c r="N112" s="149">
        <f t="shared" si="44"/>
        <v>0.46939054386444384</v>
      </c>
      <c r="O112" s="149">
        <f t="shared" si="44"/>
        <v>0.7321428571428571</v>
      </c>
      <c r="P112" s="149">
        <f t="shared" si="44"/>
        <v>0.81829896907216493</v>
      </c>
      <c r="Q112" s="149">
        <f t="shared" si="44"/>
        <v>0.92161016949152541</v>
      </c>
      <c r="R112" s="149">
        <f t="shared" si="44"/>
        <v>0.93428621230608333</v>
      </c>
    </row>
    <row r="113" spans="1:19" x14ac:dyDescent="0.2">
      <c r="A113" s="103" t="s">
        <v>285</v>
      </c>
      <c r="B113" s="89" t="s">
        <v>286</v>
      </c>
      <c r="C113" s="159" t="s">
        <v>287</v>
      </c>
      <c r="E113" s="144"/>
      <c r="F113" s="153"/>
      <c r="G113" s="143" t="s">
        <v>288</v>
      </c>
      <c r="H113" s="149">
        <f t="shared" ref="H113:R113" si="45">H33/H15</f>
        <v>0.2935600765084333</v>
      </c>
      <c r="I113" s="149">
        <f t="shared" si="45"/>
        <v>0.35238401383975926</v>
      </c>
      <c r="J113" s="149">
        <f t="shared" si="45"/>
        <v>0.34615470750511479</v>
      </c>
      <c r="K113" s="149">
        <f t="shared" si="45"/>
        <v>0.40909657996453674</v>
      </c>
      <c r="L113" s="149">
        <f t="shared" si="45"/>
        <v>0.44177854913768333</v>
      </c>
      <c r="M113" s="149">
        <f t="shared" si="45"/>
        <v>0.4915930464519806</v>
      </c>
      <c r="N113" s="149">
        <f t="shared" si="45"/>
        <v>0.52259242355088997</v>
      </c>
      <c r="O113" s="149">
        <f t="shared" si="45"/>
        <v>0.80916653074539224</v>
      </c>
      <c r="P113" s="149">
        <f t="shared" si="45"/>
        <v>0.89705103302136679</v>
      </c>
      <c r="Q113" s="149">
        <f t="shared" si="45"/>
        <v>1.0197304160968939</v>
      </c>
      <c r="R113" s="149">
        <f t="shared" si="45"/>
        <v>1.0323574730354392</v>
      </c>
    </row>
    <row r="114" spans="1:19" x14ac:dyDescent="0.2">
      <c r="A114" s="103" t="s">
        <v>289</v>
      </c>
      <c r="B114" s="89" t="s">
        <v>290</v>
      </c>
      <c r="C114" s="159" t="s">
        <v>291</v>
      </c>
      <c r="D114" s="146">
        <v>0.5</v>
      </c>
      <c r="E114" s="146">
        <f>1/3</f>
        <v>0.33333333333333331</v>
      </c>
      <c r="F114" s="153"/>
      <c r="G114" s="105" t="s">
        <v>292</v>
      </c>
      <c r="H114" s="160">
        <f t="shared" ref="H114:R114" si="46">H27/H4</f>
        <v>0.67612007333655699</v>
      </c>
      <c r="I114" s="160">
        <f t="shared" si="46"/>
        <v>0.70849757196494845</v>
      </c>
      <c r="J114" s="160">
        <f t="shared" si="46"/>
        <v>0.747193577185988</v>
      </c>
      <c r="K114" s="160">
        <f t="shared" si="46"/>
        <v>0.80686606484143131</v>
      </c>
      <c r="L114" s="160">
        <f t="shared" si="46"/>
        <v>0.84890168035231739</v>
      </c>
      <c r="M114" s="160">
        <f t="shared" si="46"/>
        <v>0.88770318898126321</v>
      </c>
      <c r="N114" s="160">
        <f t="shared" si="46"/>
        <v>0.89232030609456137</v>
      </c>
      <c r="O114" s="160">
        <f t="shared" si="46"/>
        <v>0.89743211334120421</v>
      </c>
      <c r="P114" s="160">
        <f t="shared" si="46"/>
        <v>0.86903994845360821</v>
      </c>
      <c r="Q114" s="160">
        <f t="shared" si="46"/>
        <v>0.85875706214689262</v>
      </c>
      <c r="R114" s="160">
        <f t="shared" si="46"/>
        <v>0.76555691127767123</v>
      </c>
    </row>
    <row r="115" spans="1:19" x14ac:dyDescent="0.2">
      <c r="A115" s="161"/>
      <c r="C115" s="161"/>
      <c r="D115" s="162"/>
      <c r="E115" s="163"/>
      <c r="F115" s="153"/>
      <c r="G115" s="98" t="s">
        <v>293</v>
      </c>
      <c r="H115" s="129">
        <f t="shared" ref="H115:R115" si="47">H109</f>
        <v>2011</v>
      </c>
      <c r="I115" s="129">
        <f t="shared" si="47"/>
        <v>2012</v>
      </c>
      <c r="J115" s="129">
        <f t="shared" si="47"/>
        <v>2013</v>
      </c>
      <c r="K115" s="129">
        <f t="shared" si="47"/>
        <v>2014</v>
      </c>
      <c r="L115" s="129">
        <f t="shared" si="47"/>
        <v>2015</v>
      </c>
      <c r="M115" s="129">
        <f t="shared" si="47"/>
        <v>2016</v>
      </c>
      <c r="N115" s="129">
        <f t="shared" si="47"/>
        <v>2017</v>
      </c>
      <c r="O115" s="129">
        <f t="shared" si="47"/>
        <v>2018</v>
      </c>
      <c r="P115" s="129">
        <f t="shared" si="47"/>
        <v>2019</v>
      </c>
      <c r="Q115" s="129">
        <f t="shared" si="47"/>
        <v>2020</v>
      </c>
      <c r="R115" s="129">
        <f t="shared" si="47"/>
        <v>2021</v>
      </c>
    </row>
    <row r="116" spans="1:19" x14ac:dyDescent="0.2">
      <c r="A116" s="103" t="s">
        <v>294</v>
      </c>
      <c r="B116" s="89" t="s">
        <v>295</v>
      </c>
      <c r="C116" s="103" t="s">
        <v>296</v>
      </c>
      <c r="D116" s="164"/>
      <c r="E116" s="146">
        <v>0.05</v>
      </c>
      <c r="G116" s="101" t="s">
        <v>297</v>
      </c>
      <c r="H116" s="148">
        <f t="shared" ref="H116:R116" si="48">H35/H33</f>
        <v>0.46348675325659972</v>
      </c>
      <c r="I116" s="148">
        <f t="shared" si="48"/>
        <v>0.43862985601755955</v>
      </c>
      <c r="J116" s="148">
        <f t="shared" si="48"/>
        <v>0.475170133689514</v>
      </c>
      <c r="K116" s="148">
        <f t="shared" si="48"/>
        <v>0.50391290912328202</v>
      </c>
      <c r="L116" s="148">
        <f t="shared" si="48"/>
        <v>0.46149628783552255</v>
      </c>
      <c r="M116" s="148">
        <f t="shared" si="48"/>
        <v>0.45420289855072465</v>
      </c>
      <c r="N116" s="148">
        <f t="shared" si="48"/>
        <v>0.4462882096069869</v>
      </c>
      <c r="O116" s="148">
        <f t="shared" si="48"/>
        <v>0.33219109050594636</v>
      </c>
      <c r="P116" s="148">
        <f t="shared" si="48"/>
        <v>0.33070866141732286</v>
      </c>
      <c r="Q116" s="148">
        <f t="shared" si="48"/>
        <v>0.32950191570881227</v>
      </c>
      <c r="R116" s="148">
        <f t="shared" si="48"/>
        <v>0.32835820895522388</v>
      </c>
    </row>
    <row r="117" spans="1:19" x14ac:dyDescent="0.2">
      <c r="A117" s="103" t="s">
        <v>298</v>
      </c>
      <c r="B117" s="89" t="s">
        <v>299</v>
      </c>
      <c r="C117" s="103" t="s">
        <v>300</v>
      </c>
      <c r="E117" s="146">
        <v>0.95</v>
      </c>
      <c r="G117" s="105" t="s">
        <v>301</v>
      </c>
      <c r="H117" s="160">
        <f t="shared" ref="H117:R117" si="49">(H36+H34)/H33</f>
        <v>0.53382937921848905</v>
      </c>
      <c r="I117" s="160">
        <f t="shared" si="49"/>
        <v>0.53753805177460356</v>
      </c>
      <c r="J117" s="160">
        <f t="shared" si="49"/>
        <v>0.52459438354472865</v>
      </c>
      <c r="K117" s="160">
        <f t="shared" si="49"/>
        <v>0.49608709087671804</v>
      </c>
      <c r="L117" s="160">
        <f t="shared" si="49"/>
        <v>0.538270397867885</v>
      </c>
      <c r="M117" s="160">
        <f t="shared" si="49"/>
        <v>0.5457971014492754</v>
      </c>
      <c r="N117" s="160">
        <f t="shared" si="49"/>
        <v>0.5537117903930131</v>
      </c>
      <c r="O117" s="160">
        <f t="shared" si="49"/>
        <v>0.66780890949405358</v>
      </c>
      <c r="P117" s="160">
        <f t="shared" si="49"/>
        <v>0.6692913385826772</v>
      </c>
      <c r="Q117" s="160">
        <f t="shared" si="49"/>
        <v>0.67049808429118773</v>
      </c>
      <c r="R117" s="160">
        <f t="shared" si="49"/>
        <v>0.67164179104477617</v>
      </c>
    </row>
    <row r="118" spans="1:19" x14ac:dyDescent="0.2">
      <c r="A118" s="103" t="s">
        <v>302</v>
      </c>
      <c r="B118" s="89" t="s">
        <v>303</v>
      </c>
      <c r="C118" s="103" t="s">
        <v>304</v>
      </c>
      <c r="E118" s="146">
        <v>0.95</v>
      </c>
      <c r="G118" s="143" t="s">
        <v>305</v>
      </c>
      <c r="H118" s="148">
        <f t="shared" ref="H118:R118" si="50">H38/(H38+H41)</f>
        <v>5.7055622450317457E-4</v>
      </c>
      <c r="I118" s="148">
        <f t="shared" si="50"/>
        <v>7.1161085227454857E-4</v>
      </c>
      <c r="J118" s="148">
        <f t="shared" si="50"/>
        <v>7.1919504242771851E-4</v>
      </c>
      <c r="K118" s="148">
        <f t="shared" si="50"/>
        <v>7.6986681030207828E-4</v>
      </c>
      <c r="L118" s="148">
        <f t="shared" si="50"/>
        <v>8.1224578541281027E-4</v>
      </c>
      <c r="M118" s="148">
        <f t="shared" si="50"/>
        <v>7.776049766718507E-4</v>
      </c>
      <c r="N118" s="148">
        <f t="shared" si="50"/>
        <v>7.3909830007390983E-4</v>
      </c>
      <c r="O118" s="148">
        <f t="shared" si="50"/>
        <v>5.5452865064695004E-4</v>
      </c>
      <c r="P118" s="148">
        <f t="shared" si="50"/>
        <v>5.2029136316337154E-4</v>
      </c>
      <c r="Q118" s="148">
        <f t="shared" si="50"/>
        <v>5.2164840897235261E-4</v>
      </c>
      <c r="R118" s="148">
        <f t="shared" si="50"/>
        <v>5.1440329218107E-4</v>
      </c>
    </row>
    <row r="119" spans="1:19" x14ac:dyDescent="0.2">
      <c r="A119" s="161"/>
      <c r="C119" s="162"/>
      <c r="D119" s="162"/>
      <c r="E119" s="163"/>
      <c r="F119" s="153"/>
      <c r="G119" s="98" t="s">
        <v>306</v>
      </c>
      <c r="H119" s="129">
        <f t="shared" ref="H119:R119" si="51">H115</f>
        <v>2011</v>
      </c>
      <c r="I119" s="129">
        <f t="shared" si="51"/>
        <v>2012</v>
      </c>
      <c r="J119" s="129">
        <f t="shared" si="51"/>
        <v>2013</v>
      </c>
      <c r="K119" s="129">
        <f t="shared" si="51"/>
        <v>2014</v>
      </c>
      <c r="L119" s="129">
        <f t="shared" si="51"/>
        <v>2015</v>
      </c>
      <c r="M119" s="129">
        <f t="shared" si="51"/>
        <v>2016</v>
      </c>
      <c r="N119" s="129">
        <f t="shared" si="51"/>
        <v>2017</v>
      </c>
      <c r="O119" s="129">
        <f t="shared" si="51"/>
        <v>2018</v>
      </c>
      <c r="P119" s="129">
        <f t="shared" si="51"/>
        <v>2019</v>
      </c>
      <c r="Q119" s="129">
        <f t="shared" si="51"/>
        <v>2020</v>
      </c>
      <c r="R119" s="129">
        <f t="shared" si="51"/>
        <v>2021</v>
      </c>
    </row>
    <row r="120" spans="1:19" x14ac:dyDescent="0.2">
      <c r="A120" s="91" t="s">
        <v>307</v>
      </c>
      <c r="B120" s="89" t="s">
        <v>308</v>
      </c>
      <c r="C120" s="103" t="s">
        <v>309</v>
      </c>
      <c r="D120" s="165">
        <v>0.5</v>
      </c>
      <c r="E120" s="166" t="s">
        <v>310</v>
      </c>
      <c r="F120" s="91"/>
      <c r="G120" s="101" t="s">
        <v>311</v>
      </c>
      <c r="H120" s="149" t="str">
        <f t="shared" ref="H120:R120" si="52">IF(H116&lt;$D$120,$E$120,H35/H4)</f>
        <v>N/A</v>
      </c>
      <c r="I120" s="149" t="str">
        <f t="shared" si="52"/>
        <v>N/A</v>
      </c>
      <c r="J120" s="149" t="str">
        <f t="shared" si="52"/>
        <v>N/A</v>
      </c>
      <c r="K120" s="149">
        <f t="shared" si="52"/>
        <v>0.16325300005950166</v>
      </c>
      <c r="L120" s="149" t="str">
        <f t="shared" si="52"/>
        <v>N/A</v>
      </c>
      <c r="M120" s="149" t="str">
        <f t="shared" si="52"/>
        <v>N/A</v>
      </c>
      <c r="N120" s="149" t="str">
        <f t="shared" si="52"/>
        <v>N/A</v>
      </c>
      <c r="O120" s="149" t="str">
        <f t="shared" si="52"/>
        <v>N/A</v>
      </c>
      <c r="P120" s="149" t="str">
        <f t="shared" si="52"/>
        <v>N/A</v>
      </c>
      <c r="Q120" s="149" t="str">
        <f t="shared" si="52"/>
        <v>N/A</v>
      </c>
      <c r="R120" s="149" t="str">
        <f t="shared" si="52"/>
        <v>N/A</v>
      </c>
    </row>
    <row r="121" spans="1:19" x14ac:dyDescent="0.2">
      <c r="A121" s="91" t="s">
        <v>312</v>
      </c>
      <c r="B121" s="89" t="s">
        <v>313</v>
      </c>
      <c r="C121" s="103" t="s">
        <v>314</v>
      </c>
      <c r="D121" s="165">
        <v>0.5</v>
      </c>
      <c r="E121" s="166" t="s">
        <v>310</v>
      </c>
      <c r="F121" s="91"/>
      <c r="G121" s="105" t="s">
        <v>315</v>
      </c>
      <c r="H121" s="149" t="str">
        <f t="shared" ref="H121:R121" si="53">IF(H116&lt;$D$121,$E$121,H35/H15)</f>
        <v>N/A</v>
      </c>
      <c r="I121" s="149" t="str">
        <f t="shared" si="53"/>
        <v>N/A</v>
      </c>
      <c r="J121" s="149" t="str">
        <f t="shared" si="53"/>
        <v>N/A</v>
      </c>
      <c r="K121" s="149">
        <f t="shared" si="53"/>
        <v>0.20614904772231507</v>
      </c>
      <c r="L121" s="149" t="str">
        <f t="shared" si="53"/>
        <v>N/A</v>
      </c>
      <c r="M121" s="149" t="str">
        <f t="shared" si="53"/>
        <v>N/A</v>
      </c>
      <c r="N121" s="149" t="str">
        <f t="shared" si="53"/>
        <v>N/A</v>
      </c>
      <c r="O121" s="149" t="str">
        <f t="shared" si="53"/>
        <v>N/A</v>
      </c>
      <c r="P121" s="149" t="str">
        <f t="shared" si="53"/>
        <v>N/A</v>
      </c>
      <c r="Q121" s="149" t="str">
        <f t="shared" si="53"/>
        <v>N/A</v>
      </c>
      <c r="R121" s="149" t="str">
        <f t="shared" si="53"/>
        <v>N/A</v>
      </c>
    </row>
    <row r="122" spans="1:19" x14ac:dyDescent="0.2">
      <c r="A122" s="91" t="s">
        <v>316</v>
      </c>
      <c r="B122" s="89" t="s">
        <v>317</v>
      </c>
      <c r="C122" s="103" t="s">
        <v>217</v>
      </c>
      <c r="D122" s="165">
        <v>0.5</v>
      </c>
      <c r="E122" s="166" t="s">
        <v>310</v>
      </c>
      <c r="F122" s="91"/>
      <c r="G122" s="101" t="s">
        <v>318</v>
      </c>
      <c r="H122" s="160" t="str">
        <f t="shared" ref="H122:R122" si="54">IF(H116&lt;$D$122,$E$122,H46/H33)</f>
        <v>N/A</v>
      </c>
      <c r="I122" s="160" t="str">
        <f t="shared" si="54"/>
        <v>N/A</v>
      </c>
      <c r="J122" s="160" t="str">
        <f t="shared" si="54"/>
        <v>N/A</v>
      </c>
      <c r="K122" s="160">
        <f t="shared" si="54"/>
        <v>-0.13814781588357047</v>
      </c>
      <c r="L122" s="160" t="str">
        <f t="shared" si="54"/>
        <v>N/A</v>
      </c>
      <c r="M122" s="160" t="str">
        <f t="shared" si="54"/>
        <v>N/A</v>
      </c>
      <c r="N122" s="160" t="str">
        <f t="shared" si="54"/>
        <v>N/A</v>
      </c>
      <c r="O122" s="160" t="str">
        <f t="shared" si="54"/>
        <v>N/A</v>
      </c>
      <c r="P122" s="160" t="str">
        <f t="shared" si="54"/>
        <v>N/A</v>
      </c>
      <c r="Q122" s="160" t="str">
        <f t="shared" si="54"/>
        <v>N/A</v>
      </c>
      <c r="R122" s="160" t="str">
        <f t="shared" si="54"/>
        <v>N/A</v>
      </c>
    </row>
    <row r="123" spans="1:19" x14ac:dyDescent="0.2">
      <c r="A123" s="91" t="s">
        <v>319</v>
      </c>
      <c r="B123" s="89" t="s">
        <v>320</v>
      </c>
      <c r="C123" s="103" t="s">
        <v>321</v>
      </c>
      <c r="D123" s="165">
        <v>0.5</v>
      </c>
      <c r="E123" s="166" t="s">
        <v>310</v>
      </c>
      <c r="F123" s="91"/>
      <c r="G123" s="105" t="s">
        <v>322</v>
      </c>
      <c r="H123" s="160" t="str">
        <f t="shared" ref="H123:R123" si="55">IF(H116&lt;$D$122,$E$123,H51/H33)</f>
        <v>N/A</v>
      </c>
      <c r="I123" s="160" t="str">
        <f t="shared" si="55"/>
        <v>N/A</v>
      </c>
      <c r="J123" s="160" t="str">
        <f t="shared" si="55"/>
        <v>N/A</v>
      </c>
      <c r="K123" s="160">
        <f t="shared" si="55"/>
        <v>-0.14166923140966708</v>
      </c>
      <c r="L123" s="160" t="str">
        <f t="shared" si="55"/>
        <v>N/A</v>
      </c>
      <c r="M123" s="160" t="str">
        <f t="shared" si="55"/>
        <v>N/A</v>
      </c>
      <c r="N123" s="160" t="str">
        <f t="shared" si="55"/>
        <v>N/A</v>
      </c>
      <c r="O123" s="160" t="str">
        <f t="shared" si="55"/>
        <v>N/A</v>
      </c>
      <c r="P123" s="160" t="str">
        <f t="shared" si="55"/>
        <v>N/A</v>
      </c>
      <c r="Q123" s="160" t="str">
        <f t="shared" si="55"/>
        <v>N/A</v>
      </c>
      <c r="R123" s="160" t="str">
        <f t="shared" si="55"/>
        <v>N/A</v>
      </c>
    </row>
    <row r="124" spans="1:19" x14ac:dyDescent="0.2">
      <c r="A124" s="91" t="s">
        <v>323</v>
      </c>
      <c r="B124" s="89" t="s">
        <v>324</v>
      </c>
      <c r="C124" s="103" t="s">
        <v>325</v>
      </c>
      <c r="D124" s="165">
        <v>0.5</v>
      </c>
      <c r="E124" s="166" t="s">
        <v>310</v>
      </c>
      <c r="F124" s="91"/>
      <c r="G124" s="105" t="s">
        <v>326</v>
      </c>
      <c r="H124" s="160" t="str">
        <f t="shared" ref="H124:R124" si="56">IF(H116&lt;$D$124,$E$124,H51/H4)</f>
        <v>N/A</v>
      </c>
      <c r="I124" s="160" t="str">
        <f t="shared" si="56"/>
        <v>N/A</v>
      </c>
      <c r="J124" s="160" t="str">
        <f t="shared" si="56"/>
        <v>N/A</v>
      </c>
      <c r="K124" s="160">
        <f t="shared" si="56"/>
        <v>-4.5896675050437534E-2</v>
      </c>
      <c r="L124" s="160" t="str">
        <f t="shared" si="56"/>
        <v>N/A</v>
      </c>
      <c r="M124" s="160" t="str">
        <f t="shared" si="56"/>
        <v>N/A</v>
      </c>
      <c r="N124" s="160" t="str">
        <f t="shared" si="56"/>
        <v>N/A</v>
      </c>
      <c r="O124" s="160" t="str">
        <f t="shared" si="56"/>
        <v>N/A</v>
      </c>
      <c r="P124" s="160" t="str">
        <f t="shared" si="56"/>
        <v>N/A</v>
      </c>
      <c r="Q124" s="160" t="str">
        <f t="shared" si="56"/>
        <v>N/A</v>
      </c>
      <c r="R124" s="160" t="str">
        <f t="shared" si="56"/>
        <v>N/A</v>
      </c>
    </row>
    <row r="125" spans="1:19" x14ac:dyDescent="0.2">
      <c r="A125" s="91" t="s">
        <v>327</v>
      </c>
      <c r="B125" s="89" t="s">
        <v>328</v>
      </c>
      <c r="C125" s="103" t="s">
        <v>329</v>
      </c>
      <c r="D125" s="165">
        <v>0.5</v>
      </c>
      <c r="E125" s="166" t="s">
        <v>310</v>
      </c>
      <c r="F125" s="91"/>
      <c r="G125" s="143" t="s">
        <v>330</v>
      </c>
      <c r="H125" s="160" t="str">
        <f t="shared" ref="H125:R125" si="57">IF(H116&lt;$D$125,$E$125,H51/H27)</f>
        <v>N/A</v>
      </c>
      <c r="I125" s="160" t="str">
        <f t="shared" si="57"/>
        <v>N/A</v>
      </c>
      <c r="J125" s="160" t="str">
        <f t="shared" si="57"/>
        <v>N/A</v>
      </c>
      <c r="K125" s="160">
        <f t="shared" si="57"/>
        <v>-5.6882643911238651E-2</v>
      </c>
      <c r="L125" s="160" t="str">
        <f t="shared" si="57"/>
        <v>N/A</v>
      </c>
      <c r="M125" s="160" t="str">
        <f t="shared" si="57"/>
        <v>N/A</v>
      </c>
      <c r="N125" s="160" t="str">
        <f t="shared" si="57"/>
        <v>N/A</v>
      </c>
      <c r="O125" s="160" t="str">
        <f t="shared" si="57"/>
        <v>N/A</v>
      </c>
      <c r="P125" s="160" t="str">
        <f t="shared" si="57"/>
        <v>N/A</v>
      </c>
      <c r="Q125" s="160" t="str">
        <f t="shared" si="57"/>
        <v>N/A</v>
      </c>
      <c r="R125" s="160" t="str">
        <f t="shared" si="57"/>
        <v>N/A</v>
      </c>
    </row>
    <row r="126" spans="1:19" x14ac:dyDescent="0.2">
      <c r="C126" s="162"/>
      <c r="D126" s="162"/>
      <c r="E126" s="163"/>
      <c r="F126" s="91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1:19" x14ac:dyDescent="0.2">
      <c r="F127" s="91"/>
      <c r="H127" s="129">
        <f t="shared" ref="H127:R127" si="58">H119</f>
        <v>2011</v>
      </c>
      <c r="I127" s="129">
        <f t="shared" si="58"/>
        <v>2012</v>
      </c>
      <c r="J127" s="129">
        <f t="shared" si="58"/>
        <v>2013</v>
      </c>
      <c r="K127" s="129">
        <f t="shared" si="58"/>
        <v>2014</v>
      </c>
      <c r="L127" s="129">
        <f t="shared" si="58"/>
        <v>2015</v>
      </c>
      <c r="M127" s="129">
        <f t="shared" si="58"/>
        <v>2016</v>
      </c>
      <c r="N127" s="129">
        <f t="shared" si="58"/>
        <v>2017</v>
      </c>
      <c r="O127" s="129">
        <f t="shared" si="58"/>
        <v>2018</v>
      </c>
      <c r="P127" s="129">
        <f t="shared" si="58"/>
        <v>2019</v>
      </c>
      <c r="Q127" s="129">
        <f t="shared" si="58"/>
        <v>2020</v>
      </c>
      <c r="R127" s="129">
        <f t="shared" si="58"/>
        <v>2021</v>
      </c>
    </row>
    <row r="128" spans="1:19" x14ac:dyDescent="0.2">
      <c r="G128" s="167" t="s">
        <v>331</v>
      </c>
      <c r="H128" s="168">
        <f t="shared" ref="H128:R128" si="59">H33</f>
        <v>2743.4289999999996</v>
      </c>
      <c r="I128" s="168">
        <f t="shared" si="59"/>
        <v>3141.7719999999999</v>
      </c>
      <c r="J128" s="168">
        <f t="shared" si="59"/>
        <v>2874.9450000000002</v>
      </c>
      <c r="K128" s="168">
        <f t="shared" si="59"/>
        <v>3206.9489999999996</v>
      </c>
      <c r="L128" s="168">
        <f t="shared" si="59"/>
        <v>3283.1250000000005</v>
      </c>
      <c r="M128" s="168">
        <f t="shared" si="59"/>
        <v>3450</v>
      </c>
      <c r="N128" s="168">
        <f t="shared" si="59"/>
        <v>3435</v>
      </c>
      <c r="O128" s="168">
        <f t="shared" si="59"/>
        <v>4961</v>
      </c>
      <c r="P128" s="168">
        <f t="shared" si="59"/>
        <v>5080</v>
      </c>
      <c r="Q128" s="168">
        <f t="shared" si="59"/>
        <v>5220</v>
      </c>
      <c r="R128" s="168">
        <f t="shared" si="59"/>
        <v>5360</v>
      </c>
    </row>
    <row r="129" spans="3:19" x14ac:dyDescent="0.2">
      <c r="G129" s="167" t="s">
        <v>332</v>
      </c>
      <c r="H129" s="168">
        <f t="shared" ref="H129:R130" si="60">H35</f>
        <v>1271.5429999999999</v>
      </c>
      <c r="I129" s="168">
        <f t="shared" si="60"/>
        <v>1378.075</v>
      </c>
      <c r="J129" s="168">
        <f t="shared" si="60"/>
        <v>1366.088</v>
      </c>
      <c r="K129" s="168">
        <f t="shared" si="60"/>
        <v>1616.0229999999999</v>
      </c>
      <c r="L129" s="168">
        <f t="shared" si="60"/>
        <v>1515.15</v>
      </c>
      <c r="M129" s="168">
        <f t="shared" si="60"/>
        <v>1567</v>
      </c>
      <c r="N129" s="168">
        <f t="shared" si="60"/>
        <v>1533</v>
      </c>
      <c r="O129" s="168">
        <f t="shared" si="60"/>
        <v>1648</v>
      </c>
      <c r="P129" s="168">
        <f t="shared" si="60"/>
        <v>1680</v>
      </c>
      <c r="Q129" s="168">
        <f t="shared" si="60"/>
        <v>1720</v>
      </c>
      <c r="R129" s="168">
        <f t="shared" si="60"/>
        <v>1760</v>
      </c>
    </row>
    <row r="130" spans="3:19" x14ac:dyDescent="0.2">
      <c r="G130" s="167" t="s">
        <v>333</v>
      </c>
      <c r="H130" s="168">
        <f t="shared" si="60"/>
        <v>1464.5229999999999</v>
      </c>
      <c r="I130" s="168">
        <f t="shared" si="60"/>
        <v>1688.8219999999999</v>
      </c>
      <c r="J130" s="168">
        <f t="shared" si="60"/>
        <v>1508.18</v>
      </c>
      <c r="K130" s="168">
        <f t="shared" si="60"/>
        <v>1590.9259999999999</v>
      </c>
      <c r="L130" s="168">
        <f t="shared" si="60"/>
        <v>1767.2090000000001</v>
      </c>
      <c r="M130" s="168">
        <f t="shared" si="60"/>
        <v>1883</v>
      </c>
      <c r="N130" s="168">
        <f t="shared" si="60"/>
        <v>1902</v>
      </c>
      <c r="O130" s="168">
        <f t="shared" si="60"/>
        <v>3313</v>
      </c>
      <c r="P130" s="168">
        <f t="shared" si="60"/>
        <v>3400</v>
      </c>
      <c r="Q130" s="168">
        <f t="shared" si="60"/>
        <v>3500</v>
      </c>
      <c r="R130" s="168">
        <f t="shared" si="60"/>
        <v>3600</v>
      </c>
    </row>
    <row r="131" spans="3:19" x14ac:dyDescent="0.2">
      <c r="G131" s="167" t="s">
        <v>334</v>
      </c>
      <c r="H131" s="168">
        <f t="shared" ref="H131:R131" si="61">H38+H41</f>
        <v>-3317.8150000000001</v>
      </c>
      <c r="I131" s="168">
        <f t="shared" si="61"/>
        <v>-3587.6349999999998</v>
      </c>
      <c r="J131" s="168">
        <f t="shared" si="61"/>
        <v>-3549.8020000000001</v>
      </c>
      <c r="K131" s="168">
        <f t="shared" si="61"/>
        <v>-3649.982</v>
      </c>
      <c r="L131" s="168">
        <f t="shared" si="61"/>
        <v>-3707.0059999999999</v>
      </c>
      <c r="M131" s="168">
        <f t="shared" si="61"/>
        <v>-3858</v>
      </c>
      <c r="N131" s="168">
        <f t="shared" si="61"/>
        <v>-4059</v>
      </c>
      <c r="O131" s="168">
        <f t="shared" si="61"/>
        <v>-5410</v>
      </c>
      <c r="P131" s="168">
        <f t="shared" si="61"/>
        <v>-5766</v>
      </c>
      <c r="Q131" s="168">
        <f t="shared" si="61"/>
        <v>-5751</v>
      </c>
      <c r="R131" s="168">
        <f t="shared" si="61"/>
        <v>-5832</v>
      </c>
    </row>
    <row r="132" spans="3:19" x14ac:dyDescent="0.2">
      <c r="G132" s="167" t="s">
        <v>335</v>
      </c>
      <c r="H132" s="168">
        <f t="shared" ref="H132:R132" si="62">H41</f>
        <v>-3315.922</v>
      </c>
      <c r="I132" s="168">
        <f t="shared" si="62"/>
        <v>-3585.0819999999999</v>
      </c>
      <c r="J132" s="168">
        <f t="shared" si="62"/>
        <v>-3547.2490000000003</v>
      </c>
      <c r="K132" s="168">
        <f t="shared" si="62"/>
        <v>-3647.172</v>
      </c>
      <c r="L132" s="168">
        <f t="shared" si="62"/>
        <v>-3703.9949999999999</v>
      </c>
      <c r="M132" s="168">
        <f t="shared" si="62"/>
        <v>-3855</v>
      </c>
      <c r="N132" s="168">
        <f t="shared" si="62"/>
        <v>-4056</v>
      </c>
      <c r="O132" s="168">
        <f t="shared" si="62"/>
        <v>-5407</v>
      </c>
      <c r="P132" s="168">
        <f t="shared" si="62"/>
        <v>-5763</v>
      </c>
      <c r="Q132" s="168">
        <f t="shared" si="62"/>
        <v>-5748</v>
      </c>
      <c r="R132" s="168">
        <f t="shared" si="62"/>
        <v>-5829</v>
      </c>
    </row>
    <row r="133" spans="3:19" x14ac:dyDescent="0.2">
      <c r="G133" s="167" t="s">
        <v>336</v>
      </c>
      <c r="H133" s="168">
        <f t="shared" ref="H133:R133" si="63">H38</f>
        <v>-1.893</v>
      </c>
      <c r="I133" s="168">
        <f t="shared" si="63"/>
        <v>-2.5529999999999999</v>
      </c>
      <c r="J133" s="168">
        <f t="shared" si="63"/>
        <v>-2.5529999999999999</v>
      </c>
      <c r="K133" s="168">
        <f t="shared" si="63"/>
        <v>-2.81</v>
      </c>
      <c r="L133" s="168">
        <f t="shared" si="63"/>
        <v>-3.0110000000000001</v>
      </c>
      <c r="M133" s="168">
        <f t="shared" si="63"/>
        <v>-3</v>
      </c>
      <c r="N133" s="168">
        <f t="shared" si="63"/>
        <v>-3</v>
      </c>
      <c r="O133" s="168">
        <f t="shared" si="63"/>
        <v>-3</v>
      </c>
      <c r="P133" s="168">
        <f t="shared" si="63"/>
        <v>-3</v>
      </c>
      <c r="Q133" s="168">
        <f t="shared" si="63"/>
        <v>-3</v>
      </c>
      <c r="R133" s="168">
        <f t="shared" si="63"/>
        <v>-3</v>
      </c>
    </row>
    <row r="134" spans="3:19" x14ac:dyDescent="0.2">
      <c r="G134" s="167" t="s">
        <v>337</v>
      </c>
      <c r="H134" s="168">
        <f t="shared" ref="H134:R134" si="64">H46</f>
        <v>-574.38600000000042</v>
      </c>
      <c r="I134" s="168">
        <f t="shared" si="64"/>
        <v>-445.86299999999983</v>
      </c>
      <c r="J134" s="168">
        <f t="shared" si="64"/>
        <v>-674.85699999999997</v>
      </c>
      <c r="K134" s="168">
        <f t="shared" si="64"/>
        <v>-443.03300000000036</v>
      </c>
      <c r="L134" s="168">
        <f t="shared" si="64"/>
        <v>-423.8809999999994</v>
      </c>
      <c r="M134" s="168">
        <f t="shared" si="64"/>
        <v>-408</v>
      </c>
      <c r="N134" s="168">
        <f t="shared" si="64"/>
        <v>-624</v>
      </c>
      <c r="O134" s="168">
        <f t="shared" si="64"/>
        <v>-449</v>
      </c>
      <c r="P134" s="168">
        <f t="shared" si="64"/>
        <v>-686</v>
      </c>
      <c r="Q134" s="168">
        <f t="shared" si="64"/>
        <v>-531</v>
      </c>
      <c r="R134" s="168">
        <f t="shared" si="64"/>
        <v>-472</v>
      </c>
    </row>
    <row r="135" spans="3:19" x14ac:dyDescent="0.2">
      <c r="G135" s="167" t="s">
        <v>338</v>
      </c>
      <c r="H135" s="168">
        <f t="shared" ref="H135:R135" si="65">H51</f>
        <v>-650.32900000000041</v>
      </c>
      <c r="I135" s="168">
        <f t="shared" si="65"/>
        <v>-492.73699999999985</v>
      </c>
      <c r="J135" s="168">
        <f t="shared" si="65"/>
        <v>-692.88299999999992</v>
      </c>
      <c r="K135" s="168">
        <f t="shared" si="65"/>
        <v>-454.32600000000036</v>
      </c>
      <c r="L135" s="168">
        <f t="shared" si="65"/>
        <v>-426.2439999999994</v>
      </c>
      <c r="M135" s="168">
        <f t="shared" si="65"/>
        <v>-407</v>
      </c>
      <c r="N135" s="168">
        <f t="shared" si="65"/>
        <v>-624</v>
      </c>
      <c r="O135" s="168">
        <f t="shared" si="65"/>
        <v>-449</v>
      </c>
      <c r="P135" s="168">
        <f t="shared" si="65"/>
        <v>-686</v>
      </c>
      <c r="Q135" s="168">
        <f t="shared" si="65"/>
        <v>-531</v>
      </c>
      <c r="R135" s="168">
        <f t="shared" si="65"/>
        <v>-472</v>
      </c>
    </row>
    <row r="136" spans="3:19" x14ac:dyDescent="0.2">
      <c r="G136" s="167" t="s">
        <v>339</v>
      </c>
      <c r="H136" s="168">
        <f t="shared" ref="H136:R137" si="66">H4</f>
        <v>14238.465</v>
      </c>
      <c r="I136" s="168">
        <f t="shared" si="66"/>
        <v>12892.317999999999</v>
      </c>
      <c r="J136" s="168">
        <f t="shared" si="66"/>
        <v>11297.477999999999</v>
      </c>
      <c r="K136" s="168">
        <f t="shared" si="66"/>
        <v>9898.8869999999988</v>
      </c>
      <c r="L136" s="168">
        <f t="shared" si="66"/>
        <v>8906.2870000000003</v>
      </c>
      <c r="M136" s="168">
        <f t="shared" si="66"/>
        <v>8059</v>
      </c>
      <c r="N136" s="168">
        <f t="shared" si="66"/>
        <v>7318</v>
      </c>
      <c r="O136" s="168">
        <f t="shared" si="66"/>
        <v>6776</v>
      </c>
      <c r="P136" s="168">
        <f t="shared" si="66"/>
        <v>6208</v>
      </c>
      <c r="Q136" s="168">
        <f t="shared" si="66"/>
        <v>5664</v>
      </c>
      <c r="R136" s="168">
        <f t="shared" si="66"/>
        <v>5737</v>
      </c>
    </row>
    <row r="137" spans="3:19" x14ac:dyDescent="0.2">
      <c r="G137" s="167" t="s">
        <v>340</v>
      </c>
      <c r="H137" s="168">
        <f t="shared" si="66"/>
        <v>1873.8679999999999</v>
      </c>
      <c r="I137" s="168">
        <f t="shared" si="66"/>
        <v>1951.2109999999998</v>
      </c>
      <c r="J137" s="168">
        <f t="shared" si="66"/>
        <v>1943.2570000000001</v>
      </c>
      <c r="K137" s="168">
        <f t="shared" si="66"/>
        <v>1587.9170000000001</v>
      </c>
      <c r="L137" s="168">
        <f t="shared" si="66"/>
        <v>1444.528</v>
      </c>
      <c r="M137" s="168">
        <f t="shared" si="66"/>
        <v>1041</v>
      </c>
      <c r="N137" s="168">
        <f t="shared" si="66"/>
        <v>745</v>
      </c>
      <c r="O137" s="168">
        <f t="shared" si="66"/>
        <v>645</v>
      </c>
      <c r="P137" s="168">
        <f t="shared" si="66"/>
        <v>545</v>
      </c>
      <c r="Q137" s="168">
        <f t="shared" si="66"/>
        <v>545</v>
      </c>
      <c r="R137" s="168">
        <f t="shared" si="66"/>
        <v>545</v>
      </c>
    </row>
    <row r="138" spans="3:19" x14ac:dyDescent="0.2">
      <c r="G138" s="167" t="s">
        <v>341</v>
      </c>
      <c r="H138" s="168">
        <f t="shared" ref="H138:R138" si="67">H10</f>
        <v>12364.597</v>
      </c>
      <c r="I138" s="168">
        <f t="shared" si="67"/>
        <v>10941.107</v>
      </c>
      <c r="J138" s="168">
        <f t="shared" si="67"/>
        <v>9354.2209999999995</v>
      </c>
      <c r="K138" s="168">
        <f t="shared" si="67"/>
        <v>8310.9699999999993</v>
      </c>
      <c r="L138" s="168">
        <f t="shared" si="67"/>
        <v>7461.759</v>
      </c>
      <c r="M138" s="168">
        <f t="shared" si="67"/>
        <v>7018</v>
      </c>
      <c r="N138" s="168">
        <f t="shared" si="67"/>
        <v>6573</v>
      </c>
      <c r="O138" s="168">
        <f t="shared" si="67"/>
        <v>6131</v>
      </c>
      <c r="P138" s="168">
        <f t="shared" si="67"/>
        <v>5663</v>
      </c>
      <c r="Q138" s="168">
        <f t="shared" si="67"/>
        <v>5119</v>
      </c>
      <c r="R138" s="168">
        <f t="shared" si="67"/>
        <v>5192</v>
      </c>
    </row>
    <row r="139" spans="3:19" x14ac:dyDescent="0.2">
      <c r="G139" s="167" t="s">
        <v>342</v>
      </c>
      <c r="H139" s="168">
        <f t="shared" ref="H139:R140" si="68">H19</f>
        <v>4612.0259999999998</v>
      </c>
      <c r="I139" s="168">
        <f t="shared" si="68"/>
        <v>3758.14</v>
      </c>
      <c r="J139" s="168">
        <f t="shared" si="68"/>
        <v>2856.0740000000001</v>
      </c>
      <c r="K139" s="168">
        <f t="shared" si="68"/>
        <v>1911.81</v>
      </c>
      <c r="L139" s="168">
        <f t="shared" si="68"/>
        <v>1345.7250000000001</v>
      </c>
      <c r="M139" s="168">
        <f t="shared" si="68"/>
        <v>905</v>
      </c>
      <c r="N139" s="168">
        <f t="shared" si="68"/>
        <v>788</v>
      </c>
      <c r="O139" s="168">
        <f t="shared" si="68"/>
        <v>695</v>
      </c>
      <c r="P139" s="168">
        <f t="shared" si="68"/>
        <v>813</v>
      </c>
      <c r="Q139" s="168">
        <f t="shared" si="68"/>
        <v>800</v>
      </c>
      <c r="R139" s="168">
        <f t="shared" si="68"/>
        <v>1345</v>
      </c>
    </row>
    <row r="140" spans="3:19" x14ac:dyDescent="0.2">
      <c r="G140" s="167" t="s">
        <v>343</v>
      </c>
      <c r="H140" s="168">
        <f t="shared" si="68"/>
        <v>1581.18</v>
      </c>
      <c r="I140" s="168">
        <f t="shared" si="68"/>
        <v>1721.152</v>
      </c>
      <c r="J140" s="168">
        <f t="shared" si="68"/>
        <v>1795.586</v>
      </c>
      <c r="K140" s="168">
        <f t="shared" si="68"/>
        <v>1428.297</v>
      </c>
      <c r="L140" s="168">
        <f t="shared" si="68"/>
        <v>1303.9649999999999</v>
      </c>
      <c r="M140" s="168">
        <f t="shared" si="68"/>
        <v>905</v>
      </c>
      <c r="N140" s="168">
        <f t="shared" si="68"/>
        <v>788</v>
      </c>
      <c r="O140" s="168">
        <f t="shared" si="68"/>
        <v>695</v>
      </c>
      <c r="P140" s="168">
        <f t="shared" si="68"/>
        <v>813</v>
      </c>
      <c r="Q140" s="168">
        <f t="shared" si="68"/>
        <v>800</v>
      </c>
      <c r="R140" s="168">
        <f t="shared" si="68"/>
        <v>1345</v>
      </c>
    </row>
    <row r="141" spans="3:19" x14ac:dyDescent="0.2">
      <c r="G141" s="167" t="s">
        <v>344</v>
      </c>
      <c r="H141" s="168">
        <f t="shared" ref="H141:R141" si="69">H24</f>
        <v>3970.335</v>
      </c>
      <c r="I141" s="168">
        <f t="shared" si="69"/>
        <v>3027.6509999999998</v>
      </c>
      <c r="J141" s="168">
        <f t="shared" si="69"/>
        <v>2055.6660000000002</v>
      </c>
      <c r="K141" s="168">
        <f t="shared" si="69"/>
        <v>1076.924</v>
      </c>
      <c r="L141" s="168">
        <f t="shared" si="69"/>
        <v>483.7</v>
      </c>
      <c r="M141" s="168">
        <f t="shared" si="69"/>
        <v>42</v>
      </c>
      <c r="N141" s="168">
        <f t="shared" si="69"/>
        <v>0</v>
      </c>
      <c r="O141" s="168">
        <f t="shared" si="69"/>
        <v>0</v>
      </c>
      <c r="P141" s="168">
        <f t="shared" si="69"/>
        <v>0</v>
      </c>
      <c r="Q141" s="168">
        <f t="shared" si="69"/>
        <v>0</v>
      </c>
      <c r="R141" s="168">
        <f t="shared" si="69"/>
        <v>0</v>
      </c>
    </row>
    <row r="142" spans="3:19" x14ac:dyDescent="0.2">
      <c r="G142" s="167" t="s">
        <v>345</v>
      </c>
      <c r="H142" s="168">
        <f t="shared" ref="H142:R142" si="70">H27</f>
        <v>9626.9120000000003</v>
      </c>
      <c r="I142" s="168">
        <f t="shared" si="70"/>
        <v>9134.1759999999995</v>
      </c>
      <c r="J142" s="168">
        <f t="shared" si="70"/>
        <v>8441.4030000000002</v>
      </c>
      <c r="K142" s="168">
        <f t="shared" si="70"/>
        <v>7987.076</v>
      </c>
      <c r="L142" s="168">
        <f t="shared" si="70"/>
        <v>7560.5619999999999</v>
      </c>
      <c r="M142" s="168">
        <f t="shared" si="70"/>
        <v>7154</v>
      </c>
      <c r="N142" s="168">
        <f t="shared" si="70"/>
        <v>6530</v>
      </c>
      <c r="O142" s="168">
        <f t="shared" si="70"/>
        <v>6081</v>
      </c>
      <c r="P142" s="168">
        <f t="shared" si="70"/>
        <v>5395</v>
      </c>
      <c r="Q142" s="168">
        <f t="shared" si="70"/>
        <v>4864</v>
      </c>
      <c r="R142" s="168">
        <f t="shared" si="70"/>
        <v>4392</v>
      </c>
    </row>
    <row r="143" spans="3:19" x14ac:dyDescent="0.2">
      <c r="C143" s="162"/>
      <c r="D143" s="162"/>
      <c r="E143" s="16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</row>
    <row r="144" spans="3:19" x14ac:dyDescent="0.2">
      <c r="C144" s="103" t="s">
        <v>346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</row>
    <row r="145" spans="3:18" x14ac:dyDescent="0.2">
      <c r="C145" s="103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</row>
    <row r="146" spans="3:18" x14ac:dyDescent="0.2">
      <c r="C146" s="103" t="s">
        <v>347</v>
      </c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</row>
    <row r="147" spans="3:18" x14ac:dyDescent="0.2">
      <c r="C147" s="103" t="s">
        <v>348</v>
      </c>
      <c r="F147" s="10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</row>
    <row r="148" spans="3:18" x14ac:dyDescent="0.2">
      <c r="C148" s="103"/>
      <c r="F148" s="109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</row>
    <row r="149" spans="3:18" x14ac:dyDescent="0.2">
      <c r="C149" s="103" t="s">
        <v>349</v>
      </c>
      <c r="F149" s="109"/>
    </row>
    <row r="150" spans="3:18" x14ac:dyDescent="0.2">
      <c r="C150" s="103" t="s">
        <v>350</v>
      </c>
      <c r="F150" s="109"/>
    </row>
  </sheetData>
  <sheetProtection selectLockedCells="1" selectUnlockedCells="1"/>
  <mergeCells count="3">
    <mergeCell ref="K2:L2"/>
    <mergeCell ref="M2:R2"/>
    <mergeCell ref="D87:E87"/>
  </mergeCells>
  <conditionalFormatting sqref="H116:Q116">
    <cfRule type="cellIs" dxfId="1536" priority="1" stopIfTrue="1" operator="greaterThan">
      <formula>$E$116</formula>
    </cfRule>
    <cfRule type="cellIs" dxfId="1535" priority="2" stopIfTrue="1" operator="lessThanOrEqual">
      <formula>$E$116</formula>
    </cfRule>
  </conditionalFormatting>
  <conditionalFormatting sqref="H118:Q118">
    <cfRule type="cellIs" dxfId="1534" priority="3" stopIfTrue="1" operator="lessThanOrEqual">
      <formula>$E$118</formula>
    </cfRule>
    <cfRule type="cellIs" dxfId="1533" priority="4" stopIfTrue="1" operator="greaterThan">
      <formula>$E$118</formula>
    </cfRule>
  </conditionalFormatting>
  <conditionalFormatting sqref="H99:Q99">
    <cfRule type="cellIs" dxfId="1532" priority="5" stopIfTrue="1" operator="greaterThan">
      <formula>$E$99</formula>
    </cfRule>
    <cfRule type="cellIs" dxfId="1531" priority="6" stopIfTrue="1" operator="lessThanOrEqual">
      <formula>$E$99</formula>
    </cfRule>
  </conditionalFormatting>
  <conditionalFormatting sqref="H102:Q102">
    <cfRule type="cellIs" dxfId="1530" priority="7" stopIfTrue="1" operator="greaterThanOrEqual">
      <formula>$E$102</formula>
    </cfRule>
    <cfRule type="cellIs" dxfId="1529" priority="8" stopIfTrue="1" operator="lessThan">
      <formula>$E$102</formula>
    </cfRule>
  </conditionalFormatting>
  <conditionalFormatting sqref="H104:Q104">
    <cfRule type="cellIs" dxfId="1528" priority="9" stopIfTrue="1" operator="lessThan">
      <formula>$E$104</formula>
    </cfRule>
    <cfRule type="cellIs" dxfId="1527" priority="10" stopIfTrue="1" operator="greaterThanOrEqual">
      <formula>$E$104</formula>
    </cfRule>
  </conditionalFormatting>
  <conditionalFormatting sqref="H103:Q103">
    <cfRule type="cellIs" dxfId="1526" priority="11" stopIfTrue="1" operator="greaterThan">
      <formula>$E$103</formula>
    </cfRule>
    <cfRule type="cellIs" dxfId="1525" priority="12" stopIfTrue="1" operator="lessThanOrEqual">
      <formula>$E$103</formula>
    </cfRule>
  </conditionalFormatting>
  <conditionalFormatting sqref="H100:Q100">
    <cfRule type="cellIs" dxfId="1524" priority="13" stopIfTrue="1" operator="between">
      <formula>$D$100</formula>
      <formula>$E$100</formula>
    </cfRule>
    <cfRule type="cellIs" dxfId="1523" priority="14" stopIfTrue="1" operator="lessThanOrEqual">
      <formula>$D$100</formula>
    </cfRule>
    <cfRule type="cellIs" dxfId="1522" priority="15" stopIfTrue="1" operator="greaterThan">
      <formula>$E$100</formula>
    </cfRule>
  </conditionalFormatting>
  <conditionalFormatting sqref="H117:Q117">
    <cfRule type="cellIs" dxfId="1521" priority="16" stopIfTrue="1" operator="greaterThan">
      <formula>$E$117</formula>
    </cfRule>
    <cfRule type="cellIs" dxfId="1520" priority="17" stopIfTrue="1" operator="lessThanOrEqual">
      <formula>$E$117</formula>
    </cfRule>
  </conditionalFormatting>
  <conditionalFormatting sqref="H107:Q107">
    <cfRule type="cellIs" dxfId="1519" priority="18" stopIfTrue="1" operator="greaterThan">
      <formula>$E$107</formula>
    </cfRule>
    <cfRule type="cellIs" dxfId="1518" priority="19" stopIfTrue="1" operator="lessThanOrEqual">
      <formula>$E$107</formula>
    </cfRule>
  </conditionalFormatting>
  <conditionalFormatting sqref="H108:Q108">
    <cfRule type="cellIs" dxfId="1517" priority="20" stopIfTrue="1" operator="lessThan">
      <formula>$E$108</formula>
    </cfRule>
    <cfRule type="cellIs" dxfId="1516" priority="21" stopIfTrue="1" operator="greaterThanOrEqual">
      <formula>$E$108</formula>
    </cfRule>
  </conditionalFormatting>
  <conditionalFormatting sqref="H93:Q93">
    <cfRule type="cellIs" dxfId="1515" priority="22" stopIfTrue="1" operator="lessThan">
      <formula>$D$93</formula>
    </cfRule>
    <cfRule type="cellIs" dxfId="1514" priority="23" stopIfTrue="1" operator="between">
      <formula>$D$93</formula>
      <formula>$E$93</formula>
    </cfRule>
    <cfRule type="cellIs" dxfId="1513" priority="24" stopIfTrue="1" operator="greaterThan">
      <formula>$E$93</formula>
    </cfRule>
  </conditionalFormatting>
  <conditionalFormatting sqref="H114:Q114">
    <cfRule type="cellIs" dxfId="1512" priority="25" stopIfTrue="1" operator="lessThan">
      <formula>$E$114</formula>
    </cfRule>
    <cfRule type="cellIs" dxfId="1511" priority="26" stopIfTrue="1" operator="between">
      <formula>$D$114</formula>
      <formula>$E$114</formula>
    </cfRule>
    <cfRule type="cellIs" dxfId="1510" priority="27" stopIfTrue="1" operator="greaterThanOrEqual">
      <formula>$D$114</formula>
    </cfRule>
  </conditionalFormatting>
  <conditionalFormatting sqref="H90:Q90">
    <cfRule type="cellIs" dxfId="1509" priority="28" stopIfTrue="1" operator="lessThan">
      <formula>$E$90</formula>
    </cfRule>
    <cfRule type="cellIs" dxfId="1508" priority="29" stopIfTrue="1" operator="greaterThan">
      <formula>$E$90</formula>
    </cfRule>
  </conditionalFormatting>
  <conditionalFormatting sqref="R116">
    <cfRule type="cellIs" dxfId="1507" priority="30" stopIfTrue="1" operator="greaterThan">
      <formula>$E$116</formula>
    </cfRule>
    <cfRule type="cellIs" dxfId="1506" priority="31" stopIfTrue="1" operator="lessThanOrEqual">
      <formula>$E$116</formula>
    </cfRule>
  </conditionalFormatting>
  <conditionalFormatting sqref="R118">
    <cfRule type="cellIs" dxfId="1505" priority="32" stopIfTrue="1" operator="lessThanOrEqual">
      <formula>$E$118</formula>
    </cfRule>
    <cfRule type="cellIs" dxfId="1504" priority="33" stopIfTrue="1" operator="greaterThan">
      <formula>$E$118</formula>
    </cfRule>
  </conditionalFormatting>
  <conditionalFormatting sqref="R99">
    <cfRule type="cellIs" dxfId="1503" priority="34" stopIfTrue="1" operator="greaterThan">
      <formula>$E$99</formula>
    </cfRule>
    <cfRule type="cellIs" dxfId="1502" priority="35" stopIfTrue="1" operator="lessThanOrEqual">
      <formula>$E$99</formula>
    </cfRule>
  </conditionalFormatting>
  <conditionalFormatting sqref="R102">
    <cfRule type="cellIs" dxfId="1501" priority="36" stopIfTrue="1" operator="greaterThanOrEqual">
      <formula>$E$102</formula>
    </cfRule>
    <cfRule type="cellIs" dxfId="1500" priority="37" stopIfTrue="1" operator="lessThan">
      <formula>$E$102</formula>
    </cfRule>
  </conditionalFormatting>
  <conditionalFormatting sqref="R104">
    <cfRule type="cellIs" dxfId="1499" priority="38" stopIfTrue="1" operator="lessThan">
      <formula>$E$104</formula>
    </cfRule>
    <cfRule type="cellIs" dxfId="1498" priority="39" stopIfTrue="1" operator="greaterThanOrEqual">
      <formula>$E$104</formula>
    </cfRule>
  </conditionalFormatting>
  <conditionalFormatting sqref="R103">
    <cfRule type="cellIs" dxfId="1497" priority="40" stopIfTrue="1" operator="greaterThan">
      <formula>$E$103</formula>
    </cfRule>
    <cfRule type="cellIs" dxfId="1496" priority="41" stopIfTrue="1" operator="lessThanOrEqual">
      <formula>$E$103</formula>
    </cfRule>
  </conditionalFormatting>
  <conditionalFormatting sqref="R100">
    <cfRule type="cellIs" dxfId="1495" priority="42" stopIfTrue="1" operator="between">
      <formula>$D$100</formula>
      <formula>$E$100</formula>
    </cfRule>
    <cfRule type="cellIs" dxfId="1494" priority="43" stopIfTrue="1" operator="lessThanOrEqual">
      <formula>$D$100</formula>
    </cfRule>
    <cfRule type="cellIs" dxfId="1493" priority="44" stopIfTrue="1" operator="greaterThan">
      <formula>$E$100</formula>
    </cfRule>
  </conditionalFormatting>
  <conditionalFormatting sqref="R117">
    <cfRule type="cellIs" dxfId="1492" priority="45" stopIfTrue="1" operator="greaterThan">
      <formula>$E$117</formula>
    </cfRule>
    <cfRule type="cellIs" dxfId="1491" priority="46" stopIfTrue="1" operator="lessThanOrEqual">
      <formula>$E$117</formula>
    </cfRule>
  </conditionalFormatting>
  <conditionalFormatting sqref="R107">
    <cfRule type="cellIs" dxfId="1490" priority="47" stopIfTrue="1" operator="greaterThan">
      <formula>$E$107</formula>
    </cfRule>
    <cfRule type="cellIs" dxfId="1489" priority="48" stopIfTrue="1" operator="lessThanOrEqual">
      <formula>$E$107</formula>
    </cfRule>
  </conditionalFormatting>
  <conditionalFormatting sqref="R108">
    <cfRule type="cellIs" dxfId="1488" priority="49" stopIfTrue="1" operator="lessThan">
      <formula>$E$108</formula>
    </cfRule>
    <cfRule type="cellIs" dxfId="1487" priority="50" stopIfTrue="1" operator="greaterThanOrEqual">
      <formula>$E$108</formula>
    </cfRule>
  </conditionalFormatting>
  <conditionalFormatting sqref="R93">
    <cfRule type="cellIs" dxfId="1486" priority="51" stopIfTrue="1" operator="lessThan">
      <formula>$D$93</formula>
    </cfRule>
    <cfRule type="cellIs" dxfId="1485" priority="52" stopIfTrue="1" operator="between">
      <formula>$D$93</formula>
      <formula>$E$93</formula>
    </cfRule>
    <cfRule type="cellIs" dxfId="1484" priority="53" stopIfTrue="1" operator="greaterThan">
      <formula>$E$93</formula>
    </cfRule>
  </conditionalFormatting>
  <conditionalFormatting sqref="R114">
    <cfRule type="cellIs" dxfId="1483" priority="54" stopIfTrue="1" operator="lessThan">
      <formula>$E$114</formula>
    </cfRule>
    <cfRule type="cellIs" dxfId="1482" priority="55" stopIfTrue="1" operator="between">
      <formula>$D$114</formula>
      <formula>$E$114</formula>
    </cfRule>
    <cfRule type="cellIs" dxfId="1481" priority="56" stopIfTrue="1" operator="greaterThanOrEqual">
      <formula>$D$114</formula>
    </cfRule>
  </conditionalFormatting>
  <conditionalFormatting sqref="R90">
    <cfRule type="cellIs" dxfId="1480" priority="57" stopIfTrue="1" operator="lessThan">
      <formula>$E$90</formula>
    </cfRule>
    <cfRule type="cellIs" dxfId="1479" priority="58" stopIfTrue="1" operator="greaterThan">
      <formula>$E$90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zoomScaleNormal="100" workbookViewId="0">
      <selection activeCell="G2" sqref="G2"/>
    </sheetView>
  </sheetViews>
  <sheetFormatPr defaultColWidth="11.42578125" defaultRowHeight="11.25" x14ac:dyDescent="0.2"/>
  <cols>
    <col min="1" max="1" width="5.7109375" style="250" bestFit="1" customWidth="1"/>
    <col min="2" max="2" width="5" style="236" bestFit="1" customWidth="1"/>
    <col min="3" max="3" width="21" style="253" bestFit="1" customWidth="1"/>
    <col min="4" max="4" width="7.28515625" style="253" customWidth="1"/>
    <col min="5" max="5" width="5.140625" style="251" bestFit="1" customWidth="1"/>
    <col min="6" max="6" width="2.140625" style="250" customWidth="1"/>
    <col min="7" max="7" width="21.42578125" style="292" customWidth="1"/>
    <col min="8" max="9" width="8.7109375" style="238" customWidth="1"/>
    <col min="10" max="10" width="10.5703125" style="238" customWidth="1"/>
    <col min="11" max="11" width="8.7109375" style="238" customWidth="1"/>
    <col min="12" max="18" width="8.7109375" style="238" bestFit="1" customWidth="1"/>
    <col min="19" max="256" width="11.42578125" style="238"/>
    <col min="257" max="257" width="5.7109375" style="238" bestFit="1" customWidth="1"/>
    <col min="258" max="258" width="5" style="238" bestFit="1" customWidth="1"/>
    <col min="259" max="259" width="21" style="238" bestFit="1" customWidth="1"/>
    <col min="260" max="260" width="7.28515625" style="238" customWidth="1"/>
    <col min="261" max="261" width="5.140625" style="238" bestFit="1" customWidth="1"/>
    <col min="262" max="262" width="2.140625" style="238" customWidth="1"/>
    <col min="263" max="263" width="21.42578125" style="238" customWidth="1"/>
    <col min="264" max="267" width="8.7109375" style="238" customWidth="1"/>
    <col min="268" max="274" width="8.7109375" style="238" bestFit="1" customWidth="1"/>
    <col min="275" max="512" width="11.42578125" style="238"/>
    <col min="513" max="513" width="5.7109375" style="238" bestFit="1" customWidth="1"/>
    <col min="514" max="514" width="5" style="238" bestFit="1" customWidth="1"/>
    <col min="515" max="515" width="21" style="238" bestFit="1" customWidth="1"/>
    <col min="516" max="516" width="7.28515625" style="238" customWidth="1"/>
    <col min="517" max="517" width="5.140625" style="238" bestFit="1" customWidth="1"/>
    <col min="518" max="518" width="2.140625" style="238" customWidth="1"/>
    <col min="519" max="519" width="21.42578125" style="238" customWidth="1"/>
    <col min="520" max="523" width="8.7109375" style="238" customWidth="1"/>
    <col min="524" max="530" width="8.7109375" style="238" bestFit="1" customWidth="1"/>
    <col min="531" max="768" width="11.42578125" style="238"/>
    <col min="769" max="769" width="5.7109375" style="238" bestFit="1" customWidth="1"/>
    <col min="770" max="770" width="5" style="238" bestFit="1" customWidth="1"/>
    <col min="771" max="771" width="21" style="238" bestFit="1" customWidth="1"/>
    <col min="772" max="772" width="7.28515625" style="238" customWidth="1"/>
    <col min="773" max="773" width="5.140625" style="238" bestFit="1" customWidth="1"/>
    <col min="774" max="774" width="2.140625" style="238" customWidth="1"/>
    <col min="775" max="775" width="21.42578125" style="238" customWidth="1"/>
    <col min="776" max="779" width="8.7109375" style="238" customWidth="1"/>
    <col min="780" max="786" width="8.7109375" style="238" bestFit="1" customWidth="1"/>
    <col min="787" max="1024" width="11.42578125" style="238"/>
    <col min="1025" max="1025" width="5.7109375" style="238" bestFit="1" customWidth="1"/>
    <col min="1026" max="1026" width="5" style="238" bestFit="1" customWidth="1"/>
    <col min="1027" max="1027" width="21" style="238" bestFit="1" customWidth="1"/>
    <col min="1028" max="1028" width="7.28515625" style="238" customWidth="1"/>
    <col min="1029" max="1029" width="5.140625" style="238" bestFit="1" customWidth="1"/>
    <col min="1030" max="1030" width="2.140625" style="238" customWidth="1"/>
    <col min="1031" max="1031" width="21.42578125" style="238" customWidth="1"/>
    <col min="1032" max="1035" width="8.7109375" style="238" customWidth="1"/>
    <col min="1036" max="1042" width="8.7109375" style="238" bestFit="1" customWidth="1"/>
    <col min="1043" max="1280" width="11.42578125" style="238"/>
    <col min="1281" max="1281" width="5.7109375" style="238" bestFit="1" customWidth="1"/>
    <col min="1282" max="1282" width="5" style="238" bestFit="1" customWidth="1"/>
    <col min="1283" max="1283" width="21" style="238" bestFit="1" customWidth="1"/>
    <col min="1284" max="1284" width="7.28515625" style="238" customWidth="1"/>
    <col min="1285" max="1285" width="5.140625" style="238" bestFit="1" customWidth="1"/>
    <col min="1286" max="1286" width="2.140625" style="238" customWidth="1"/>
    <col min="1287" max="1287" width="21.42578125" style="238" customWidth="1"/>
    <col min="1288" max="1291" width="8.7109375" style="238" customWidth="1"/>
    <col min="1292" max="1298" width="8.7109375" style="238" bestFit="1" customWidth="1"/>
    <col min="1299" max="1536" width="11.42578125" style="238"/>
    <col min="1537" max="1537" width="5.7109375" style="238" bestFit="1" customWidth="1"/>
    <col min="1538" max="1538" width="5" style="238" bestFit="1" customWidth="1"/>
    <col min="1539" max="1539" width="21" style="238" bestFit="1" customWidth="1"/>
    <col min="1540" max="1540" width="7.28515625" style="238" customWidth="1"/>
    <col min="1541" max="1541" width="5.140625" style="238" bestFit="1" customWidth="1"/>
    <col min="1542" max="1542" width="2.140625" style="238" customWidth="1"/>
    <col min="1543" max="1543" width="21.42578125" style="238" customWidth="1"/>
    <col min="1544" max="1547" width="8.7109375" style="238" customWidth="1"/>
    <col min="1548" max="1554" width="8.7109375" style="238" bestFit="1" customWidth="1"/>
    <col min="1555" max="1792" width="11.42578125" style="238"/>
    <col min="1793" max="1793" width="5.7109375" style="238" bestFit="1" customWidth="1"/>
    <col min="1794" max="1794" width="5" style="238" bestFit="1" customWidth="1"/>
    <col min="1795" max="1795" width="21" style="238" bestFit="1" customWidth="1"/>
    <col min="1796" max="1796" width="7.28515625" style="238" customWidth="1"/>
    <col min="1797" max="1797" width="5.140625" style="238" bestFit="1" customWidth="1"/>
    <col min="1798" max="1798" width="2.140625" style="238" customWidth="1"/>
    <col min="1799" max="1799" width="21.42578125" style="238" customWidth="1"/>
    <col min="1800" max="1803" width="8.7109375" style="238" customWidth="1"/>
    <col min="1804" max="1810" width="8.7109375" style="238" bestFit="1" customWidth="1"/>
    <col min="1811" max="2048" width="11.42578125" style="238"/>
    <col min="2049" max="2049" width="5.7109375" style="238" bestFit="1" customWidth="1"/>
    <col min="2050" max="2050" width="5" style="238" bestFit="1" customWidth="1"/>
    <col min="2051" max="2051" width="21" style="238" bestFit="1" customWidth="1"/>
    <col min="2052" max="2052" width="7.28515625" style="238" customWidth="1"/>
    <col min="2053" max="2053" width="5.140625" style="238" bestFit="1" customWidth="1"/>
    <col min="2054" max="2054" width="2.140625" style="238" customWidth="1"/>
    <col min="2055" max="2055" width="21.42578125" style="238" customWidth="1"/>
    <col min="2056" max="2059" width="8.7109375" style="238" customWidth="1"/>
    <col min="2060" max="2066" width="8.7109375" style="238" bestFit="1" customWidth="1"/>
    <col min="2067" max="2304" width="11.42578125" style="238"/>
    <col min="2305" max="2305" width="5.7109375" style="238" bestFit="1" customWidth="1"/>
    <col min="2306" max="2306" width="5" style="238" bestFit="1" customWidth="1"/>
    <col min="2307" max="2307" width="21" style="238" bestFit="1" customWidth="1"/>
    <col min="2308" max="2308" width="7.28515625" style="238" customWidth="1"/>
    <col min="2309" max="2309" width="5.140625" style="238" bestFit="1" customWidth="1"/>
    <col min="2310" max="2310" width="2.140625" style="238" customWidth="1"/>
    <col min="2311" max="2311" width="21.42578125" style="238" customWidth="1"/>
    <col min="2312" max="2315" width="8.7109375" style="238" customWidth="1"/>
    <col min="2316" max="2322" width="8.7109375" style="238" bestFit="1" customWidth="1"/>
    <col min="2323" max="2560" width="11.42578125" style="238"/>
    <col min="2561" max="2561" width="5.7109375" style="238" bestFit="1" customWidth="1"/>
    <col min="2562" max="2562" width="5" style="238" bestFit="1" customWidth="1"/>
    <col min="2563" max="2563" width="21" style="238" bestFit="1" customWidth="1"/>
    <col min="2564" max="2564" width="7.28515625" style="238" customWidth="1"/>
    <col min="2565" max="2565" width="5.140625" style="238" bestFit="1" customWidth="1"/>
    <col min="2566" max="2566" width="2.140625" style="238" customWidth="1"/>
    <col min="2567" max="2567" width="21.42578125" style="238" customWidth="1"/>
    <col min="2568" max="2571" width="8.7109375" style="238" customWidth="1"/>
    <col min="2572" max="2578" width="8.7109375" style="238" bestFit="1" customWidth="1"/>
    <col min="2579" max="2816" width="11.42578125" style="238"/>
    <col min="2817" max="2817" width="5.7109375" style="238" bestFit="1" customWidth="1"/>
    <col min="2818" max="2818" width="5" style="238" bestFit="1" customWidth="1"/>
    <col min="2819" max="2819" width="21" style="238" bestFit="1" customWidth="1"/>
    <col min="2820" max="2820" width="7.28515625" style="238" customWidth="1"/>
    <col min="2821" max="2821" width="5.140625" style="238" bestFit="1" customWidth="1"/>
    <col min="2822" max="2822" width="2.140625" style="238" customWidth="1"/>
    <col min="2823" max="2823" width="21.42578125" style="238" customWidth="1"/>
    <col min="2824" max="2827" width="8.7109375" style="238" customWidth="1"/>
    <col min="2828" max="2834" width="8.7109375" style="238" bestFit="1" customWidth="1"/>
    <col min="2835" max="3072" width="11.42578125" style="238"/>
    <col min="3073" max="3073" width="5.7109375" style="238" bestFit="1" customWidth="1"/>
    <col min="3074" max="3074" width="5" style="238" bestFit="1" customWidth="1"/>
    <col min="3075" max="3075" width="21" style="238" bestFit="1" customWidth="1"/>
    <col min="3076" max="3076" width="7.28515625" style="238" customWidth="1"/>
    <col min="3077" max="3077" width="5.140625" style="238" bestFit="1" customWidth="1"/>
    <col min="3078" max="3078" width="2.140625" style="238" customWidth="1"/>
    <col min="3079" max="3079" width="21.42578125" style="238" customWidth="1"/>
    <col min="3080" max="3083" width="8.7109375" style="238" customWidth="1"/>
    <col min="3084" max="3090" width="8.7109375" style="238" bestFit="1" customWidth="1"/>
    <col min="3091" max="3328" width="11.42578125" style="238"/>
    <col min="3329" max="3329" width="5.7109375" style="238" bestFit="1" customWidth="1"/>
    <col min="3330" max="3330" width="5" style="238" bestFit="1" customWidth="1"/>
    <col min="3331" max="3331" width="21" style="238" bestFit="1" customWidth="1"/>
    <col min="3332" max="3332" width="7.28515625" style="238" customWidth="1"/>
    <col min="3333" max="3333" width="5.140625" style="238" bestFit="1" customWidth="1"/>
    <col min="3334" max="3334" width="2.140625" style="238" customWidth="1"/>
    <col min="3335" max="3335" width="21.42578125" style="238" customWidth="1"/>
    <col min="3336" max="3339" width="8.7109375" style="238" customWidth="1"/>
    <col min="3340" max="3346" width="8.7109375" style="238" bestFit="1" customWidth="1"/>
    <col min="3347" max="3584" width="11.42578125" style="238"/>
    <col min="3585" max="3585" width="5.7109375" style="238" bestFit="1" customWidth="1"/>
    <col min="3586" max="3586" width="5" style="238" bestFit="1" customWidth="1"/>
    <col min="3587" max="3587" width="21" style="238" bestFit="1" customWidth="1"/>
    <col min="3588" max="3588" width="7.28515625" style="238" customWidth="1"/>
    <col min="3589" max="3589" width="5.140625" style="238" bestFit="1" customWidth="1"/>
    <col min="3590" max="3590" width="2.140625" style="238" customWidth="1"/>
    <col min="3591" max="3591" width="21.42578125" style="238" customWidth="1"/>
    <col min="3592" max="3595" width="8.7109375" style="238" customWidth="1"/>
    <col min="3596" max="3602" width="8.7109375" style="238" bestFit="1" customWidth="1"/>
    <col min="3603" max="3840" width="11.42578125" style="238"/>
    <col min="3841" max="3841" width="5.7109375" style="238" bestFit="1" customWidth="1"/>
    <col min="3842" max="3842" width="5" style="238" bestFit="1" customWidth="1"/>
    <col min="3843" max="3843" width="21" style="238" bestFit="1" customWidth="1"/>
    <col min="3844" max="3844" width="7.28515625" style="238" customWidth="1"/>
    <col min="3845" max="3845" width="5.140625" style="238" bestFit="1" customWidth="1"/>
    <col min="3846" max="3846" width="2.140625" style="238" customWidth="1"/>
    <col min="3847" max="3847" width="21.42578125" style="238" customWidth="1"/>
    <col min="3848" max="3851" width="8.7109375" style="238" customWidth="1"/>
    <col min="3852" max="3858" width="8.7109375" style="238" bestFit="1" customWidth="1"/>
    <col min="3859" max="4096" width="11.42578125" style="238"/>
    <col min="4097" max="4097" width="5.7109375" style="238" bestFit="1" customWidth="1"/>
    <col min="4098" max="4098" width="5" style="238" bestFit="1" customWidth="1"/>
    <col min="4099" max="4099" width="21" style="238" bestFit="1" customWidth="1"/>
    <col min="4100" max="4100" width="7.28515625" style="238" customWidth="1"/>
    <col min="4101" max="4101" width="5.140625" style="238" bestFit="1" customWidth="1"/>
    <col min="4102" max="4102" width="2.140625" style="238" customWidth="1"/>
    <col min="4103" max="4103" width="21.42578125" style="238" customWidth="1"/>
    <col min="4104" max="4107" width="8.7109375" style="238" customWidth="1"/>
    <col min="4108" max="4114" width="8.7109375" style="238" bestFit="1" customWidth="1"/>
    <col min="4115" max="4352" width="11.42578125" style="238"/>
    <col min="4353" max="4353" width="5.7109375" style="238" bestFit="1" customWidth="1"/>
    <col min="4354" max="4354" width="5" style="238" bestFit="1" customWidth="1"/>
    <col min="4355" max="4355" width="21" style="238" bestFit="1" customWidth="1"/>
    <col min="4356" max="4356" width="7.28515625" style="238" customWidth="1"/>
    <col min="4357" max="4357" width="5.140625" style="238" bestFit="1" customWidth="1"/>
    <col min="4358" max="4358" width="2.140625" style="238" customWidth="1"/>
    <col min="4359" max="4359" width="21.42578125" style="238" customWidth="1"/>
    <col min="4360" max="4363" width="8.7109375" style="238" customWidth="1"/>
    <col min="4364" max="4370" width="8.7109375" style="238" bestFit="1" customWidth="1"/>
    <col min="4371" max="4608" width="11.42578125" style="238"/>
    <col min="4609" max="4609" width="5.7109375" style="238" bestFit="1" customWidth="1"/>
    <col min="4610" max="4610" width="5" style="238" bestFit="1" customWidth="1"/>
    <col min="4611" max="4611" width="21" style="238" bestFit="1" customWidth="1"/>
    <col min="4612" max="4612" width="7.28515625" style="238" customWidth="1"/>
    <col min="4613" max="4613" width="5.140625" style="238" bestFit="1" customWidth="1"/>
    <col min="4614" max="4614" width="2.140625" style="238" customWidth="1"/>
    <col min="4615" max="4615" width="21.42578125" style="238" customWidth="1"/>
    <col min="4616" max="4619" width="8.7109375" style="238" customWidth="1"/>
    <col min="4620" max="4626" width="8.7109375" style="238" bestFit="1" customWidth="1"/>
    <col min="4627" max="4864" width="11.42578125" style="238"/>
    <col min="4865" max="4865" width="5.7109375" style="238" bestFit="1" customWidth="1"/>
    <col min="4866" max="4866" width="5" style="238" bestFit="1" customWidth="1"/>
    <col min="4867" max="4867" width="21" style="238" bestFit="1" customWidth="1"/>
    <col min="4868" max="4868" width="7.28515625" style="238" customWidth="1"/>
    <col min="4869" max="4869" width="5.140625" style="238" bestFit="1" customWidth="1"/>
    <col min="4870" max="4870" width="2.140625" style="238" customWidth="1"/>
    <col min="4871" max="4871" width="21.42578125" style="238" customWidth="1"/>
    <col min="4872" max="4875" width="8.7109375" style="238" customWidth="1"/>
    <col min="4876" max="4882" width="8.7109375" style="238" bestFit="1" customWidth="1"/>
    <col min="4883" max="5120" width="11.42578125" style="238"/>
    <col min="5121" max="5121" width="5.7109375" style="238" bestFit="1" customWidth="1"/>
    <col min="5122" max="5122" width="5" style="238" bestFit="1" customWidth="1"/>
    <col min="5123" max="5123" width="21" style="238" bestFit="1" customWidth="1"/>
    <col min="5124" max="5124" width="7.28515625" style="238" customWidth="1"/>
    <col min="5125" max="5125" width="5.140625" style="238" bestFit="1" customWidth="1"/>
    <col min="5126" max="5126" width="2.140625" style="238" customWidth="1"/>
    <col min="5127" max="5127" width="21.42578125" style="238" customWidth="1"/>
    <col min="5128" max="5131" width="8.7109375" style="238" customWidth="1"/>
    <col min="5132" max="5138" width="8.7109375" style="238" bestFit="1" customWidth="1"/>
    <col min="5139" max="5376" width="11.42578125" style="238"/>
    <col min="5377" max="5377" width="5.7109375" style="238" bestFit="1" customWidth="1"/>
    <col min="5378" max="5378" width="5" style="238" bestFit="1" customWidth="1"/>
    <col min="5379" max="5379" width="21" style="238" bestFit="1" customWidth="1"/>
    <col min="5380" max="5380" width="7.28515625" style="238" customWidth="1"/>
    <col min="5381" max="5381" width="5.140625" style="238" bestFit="1" customWidth="1"/>
    <col min="5382" max="5382" width="2.140625" style="238" customWidth="1"/>
    <col min="5383" max="5383" width="21.42578125" style="238" customWidth="1"/>
    <col min="5384" max="5387" width="8.7109375" style="238" customWidth="1"/>
    <col min="5388" max="5394" width="8.7109375" style="238" bestFit="1" customWidth="1"/>
    <col min="5395" max="5632" width="11.42578125" style="238"/>
    <col min="5633" max="5633" width="5.7109375" style="238" bestFit="1" customWidth="1"/>
    <col min="5634" max="5634" width="5" style="238" bestFit="1" customWidth="1"/>
    <col min="5635" max="5635" width="21" style="238" bestFit="1" customWidth="1"/>
    <col min="5636" max="5636" width="7.28515625" style="238" customWidth="1"/>
    <col min="5637" max="5637" width="5.140625" style="238" bestFit="1" customWidth="1"/>
    <col min="5638" max="5638" width="2.140625" style="238" customWidth="1"/>
    <col min="5639" max="5639" width="21.42578125" style="238" customWidth="1"/>
    <col min="5640" max="5643" width="8.7109375" style="238" customWidth="1"/>
    <col min="5644" max="5650" width="8.7109375" style="238" bestFit="1" customWidth="1"/>
    <col min="5651" max="5888" width="11.42578125" style="238"/>
    <col min="5889" max="5889" width="5.7109375" style="238" bestFit="1" customWidth="1"/>
    <col min="5890" max="5890" width="5" style="238" bestFit="1" customWidth="1"/>
    <col min="5891" max="5891" width="21" style="238" bestFit="1" customWidth="1"/>
    <col min="5892" max="5892" width="7.28515625" style="238" customWidth="1"/>
    <col min="5893" max="5893" width="5.140625" style="238" bestFit="1" customWidth="1"/>
    <col min="5894" max="5894" width="2.140625" style="238" customWidth="1"/>
    <col min="5895" max="5895" width="21.42578125" style="238" customWidth="1"/>
    <col min="5896" max="5899" width="8.7109375" style="238" customWidth="1"/>
    <col min="5900" max="5906" width="8.7109375" style="238" bestFit="1" customWidth="1"/>
    <col min="5907" max="6144" width="11.42578125" style="238"/>
    <col min="6145" max="6145" width="5.7109375" style="238" bestFit="1" customWidth="1"/>
    <col min="6146" max="6146" width="5" style="238" bestFit="1" customWidth="1"/>
    <col min="6147" max="6147" width="21" style="238" bestFit="1" customWidth="1"/>
    <col min="6148" max="6148" width="7.28515625" style="238" customWidth="1"/>
    <col min="6149" max="6149" width="5.140625" style="238" bestFit="1" customWidth="1"/>
    <col min="6150" max="6150" width="2.140625" style="238" customWidth="1"/>
    <col min="6151" max="6151" width="21.42578125" style="238" customWidth="1"/>
    <col min="6152" max="6155" width="8.7109375" style="238" customWidth="1"/>
    <col min="6156" max="6162" width="8.7109375" style="238" bestFit="1" customWidth="1"/>
    <col min="6163" max="6400" width="11.42578125" style="238"/>
    <col min="6401" max="6401" width="5.7109375" style="238" bestFit="1" customWidth="1"/>
    <col min="6402" max="6402" width="5" style="238" bestFit="1" customWidth="1"/>
    <col min="6403" max="6403" width="21" style="238" bestFit="1" customWidth="1"/>
    <col min="6404" max="6404" width="7.28515625" style="238" customWidth="1"/>
    <col min="6405" max="6405" width="5.140625" style="238" bestFit="1" customWidth="1"/>
    <col min="6406" max="6406" width="2.140625" style="238" customWidth="1"/>
    <col min="6407" max="6407" width="21.42578125" style="238" customWidth="1"/>
    <col min="6408" max="6411" width="8.7109375" style="238" customWidth="1"/>
    <col min="6412" max="6418" width="8.7109375" style="238" bestFit="1" customWidth="1"/>
    <col min="6419" max="6656" width="11.42578125" style="238"/>
    <col min="6657" max="6657" width="5.7109375" style="238" bestFit="1" customWidth="1"/>
    <col min="6658" max="6658" width="5" style="238" bestFit="1" customWidth="1"/>
    <col min="6659" max="6659" width="21" style="238" bestFit="1" customWidth="1"/>
    <col min="6660" max="6660" width="7.28515625" style="238" customWidth="1"/>
    <col min="6661" max="6661" width="5.140625" style="238" bestFit="1" customWidth="1"/>
    <col min="6662" max="6662" width="2.140625" style="238" customWidth="1"/>
    <col min="6663" max="6663" width="21.42578125" style="238" customWidth="1"/>
    <col min="6664" max="6667" width="8.7109375" style="238" customWidth="1"/>
    <col min="6668" max="6674" width="8.7109375" style="238" bestFit="1" customWidth="1"/>
    <col min="6675" max="6912" width="11.42578125" style="238"/>
    <col min="6913" max="6913" width="5.7109375" style="238" bestFit="1" customWidth="1"/>
    <col min="6914" max="6914" width="5" style="238" bestFit="1" customWidth="1"/>
    <col min="6915" max="6915" width="21" style="238" bestFit="1" customWidth="1"/>
    <col min="6916" max="6916" width="7.28515625" style="238" customWidth="1"/>
    <col min="6917" max="6917" width="5.140625" style="238" bestFit="1" customWidth="1"/>
    <col min="6918" max="6918" width="2.140625" style="238" customWidth="1"/>
    <col min="6919" max="6919" width="21.42578125" style="238" customWidth="1"/>
    <col min="6920" max="6923" width="8.7109375" style="238" customWidth="1"/>
    <col min="6924" max="6930" width="8.7109375" style="238" bestFit="1" customWidth="1"/>
    <col min="6931" max="7168" width="11.42578125" style="238"/>
    <col min="7169" max="7169" width="5.7109375" style="238" bestFit="1" customWidth="1"/>
    <col min="7170" max="7170" width="5" style="238" bestFit="1" customWidth="1"/>
    <col min="7171" max="7171" width="21" style="238" bestFit="1" customWidth="1"/>
    <col min="7172" max="7172" width="7.28515625" style="238" customWidth="1"/>
    <col min="7173" max="7173" width="5.140625" style="238" bestFit="1" customWidth="1"/>
    <col min="7174" max="7174" width="2.140625" style="238" customWidth="1"/>
    <col min="7175" max="7175" width="21.42578125" style="238" customWidth="1"/>
    <col min="7176" max="7179" width="8.7109375" style="238" customWidth="1"/>
    <col min="7180" max="7186" width="8.7109375" style="238" bestFit="1" customWidth="1"/>
    <col min="7187" max="7424" width="11.42578125" style="238"/>
    <col min="7425" max="7425" width="5.7109375" style="238" bestFit="1" customWidth="1"/>
    <col min="7426" max="7426" width="5" style="238" bestFit="1" customWidth="1"/>
    <col min="7427" max="7427" width="21" style="238" bestFit="1" customWidth="1"/>
    <col min="7428" max="7428" width="7.28515625" style="238" customWidth="1"/>
    <col min="7429" max="7429" width="5.140625" style="238" bestFit="1" customWidth="1"/>
    <col min="7430" max="7430" width="2.140625" style="238" customWidth="1"/>
    <col min="7431" max="7431" width="21.42578125" style="238" customWidth="1"/>
    <col min="7432" max="7435" width="8.7109375" style="238" customWidth="1"/>
    <col min="7436" max="7442" width="8.7109375" style="238" bestFit="1" customWidth="1"/>
    <col min="7443" max="7680" width="11.42578125" style="238"/>
    <col min="7681" max="7681" width="5.7109375" style="238" bestFit="1" customWidth="1"/>
    <col min="7682" max="7682" width="5" style="238" bestFit="1" customWidth="1"/>
    <col min="7683" max="7683" width="21" style="238" bestFit="1" customWidth="1"/>
    <col min="7684" max="7684" width="7.28515625" style="238" customWidth="1"/>
    <col min="7685" max="7685" width="5.140625" style="238" bestFit="1" customWidth="1"/>
    <col min="7686" max="7686" width="2.140625" style="238" customWidth="1"/>
    <col min="7687" max="7687" width="21.42578125" style="238" customWidth="1"/>
    <col min="7688" max="7691" width="8.7109375" style="238" customWidth="1"/>
    <col min="7692" max="7698" width="8.7109375" style="238" bestFit="1" customWidth="1"/>
    <col min="7699" max="7936" width="11.42578125" style="238"/>
    <col min="7937" max="7937" width="5.7109375" style="238" bestFit="1" customWidth="1"/>
    <col min="7938" max="7938" width="5" style="238" bestFit="1" customWidth="1"/>
    <col min="7939" max="7939" width="21" style="238" bestFit="1" customWidth="1"/>
    <col min="7940" max="7940" width="7.28515625" style="238" customWidth="1"/>
    <col min="7941" max="7941" width="5.140625" style="238" bestFit="1" customWidth="1"/>
    <col min="7942" max="7942" width="2.140625" style="238" customWidth="1"/>
    <col min="7943" max="7943" width="21.42578125" style="238" customWidth="1"/>
    <col min="7944" max="7947" width="8.7109375" style="238" customWidth="1"/>
    <col min="7948" max="7954" width="8.7109375" style="238" bestFit="1" customWidth="1"/>
    <col min="7955" max="8192" width="11.42578125" style="238"/>
    <col min="8193" max="8193" width="5.7109375" style="238" bestFit="1" customWidth="1"/>
    <col min="8194" max="8194" width="5" style="238" bestFit="1" customWidth="1"/>
    <col min="8195" max="8195" width="21" style="238" bestFit="1" customWidth="1"/>
    <col min="8196" max="8196" width="7.28515625" style="238" customWidth="1"/>
    <col min="8197" max="8197" width="5.140625" style="238" bestFit="1" customWidth="1"/>
    <col min="8198" max="8198" width="2.140625" style="238" customWidth="1"/>
    <col min="8199" max="8199" width="21.42578125" style="238" customWidth="1"/>
    <col min="8200" max="8203" width="8.7109375" style="238" customWidth="1"/>
    <col min="8204" max="8210" width="8.7109375" style="238" bestFit="1" customWidth="1"/>
    <col min="8211" max="8448" width="11.42578125" style="238"/>
    <col min="8449" max="8449" width="5.7109375" style="238" bestFit="1" customWidth="1"/>
    <col min="8450" max="8450" width="5" style="238" bestFit="1" customWidth="1"/>
    <col min="8451" max="8451" width="21" style="238" bestFit="1" customWidth="1"/>
    <col min="8452" max="8452" width="7.28515625" style="238" customWidth="1"/>
    <col min="8453" max="8453" width="5.140625" style="238" bestFit="1" customWidth="1"/>
    <col min="8454" max="8454" width="2.140625" style="238" customWidth="1"/>
    <col min="8455" max="8455" width="21.42578125" style="238" customWidth="1"/>
    <col min="8456" max="8459" width="8.7109375" style="238" customWidth="1"/>
    <col min="8460" max="8466" width="8.7109375" style="238" bestFit="1" customWidth="1"/>
    <col min="8467" max="8704" width="11.42578125" style="238"/>
    <col min="8705" max="8705" width="5.7109375" style="238" bestFit="1" customWidth="1"/>
    <col min="8706" max="8706" width="5" style="238" bestFit="1" customWidth="1"/>
    <col min="8707" max="8707" width="21" style="238" bestFit="1" customWidth="1"/>
    <col min="8708" max="8708" width="7.28515625" style="238" customWidth="1"/>
    <col min="8709" max="8709" width="5.140625" style="238" bestFit="1" customWidth="1"/>
    <col min="8710" max="8710" width="2.140625" style="238" customWidth="1"/>
    <col min="8711" max="8711" width="21.42578125" style="238" customWidth="1"/>
    <col min="8712" max="8715" width="8.7109375" style="238" customWidth="1"/>
    <col min="8716" max="8722" width="8.7109375" style="238" bestFit="1" customWidth="1"/>
    <col min="8723" max="8960" width="11.42578125" style="238"/>
    <col min="8961" max="8961" width="5.7109375" style="238" bestFit="1" customWidth="1"/>
    <col min="8962" max="8962" width="5" style="238" bestFit="1" customWidth="1"/>
    <col min="8963" max="8963" width="21" style="238" bestFit="1" customWidth="1"/>
    <col min="8964" max="8964" width="7.28515625" style="238" customWidth="1"/>
    <col min="8965" max="8965" width="5.140625" style="238" bestFit="1" customWidth="1"/>
    <col min="8966" max="8966" width="2.140625" style="238" customWidth="1"/>
    <col min="8967" max="8967" width="21.42578125" style="238" customWidth="1"/>
    <col min="8968" max="8971" width="8.7109375" style="238" customWidth="1"/>
    <col min="8972" max="8978" width="8.7109375" style="238" bestFit="1" customWidth="1"/>
    <col min="8979" max="9216" width="11.42578125" style="238"/>
    <col min="9217" max="9217" width="5.7109375" style="238" bestFit="1" customWidth="1"/>
    <col min="9218" max="9218" width="5" style="238" bestFit="1" customWidth="1"/>
    <col min="9219" max="9219" width="21" style="238" bestFit="1" customWidth="1"/>
    <col min="9220" max="9220" width="7.28515625" style="238" customWidth="1"/>
    <col min="9221" max="9221" width="5.140625" style="238" bestFit="1" customWidth="1"/>
    <col min="9222" max="9222" width="2.140625" style="238" customWidth="1"/>
    <col min="9223" max="9223" width="21.42578125" style="238" customWidth="1"/>
    <col min="9224" max="9227" width="8.7109375" style="238" customWidth="1"/>
    <col min="9228" max="9234" width="8.7109375" style="238" bestFit="1" customWidth="1"/>
    <col min="9235" max="9472" width="11.42578125" style="238"/>
    <col min="9473" max="9473" width="5.7109375" style="238" bestFit="1" customWidth="1"/>
    <col min="9474" max="9474" width="5" style="238" bestFit="1" customWidth="1"/>
    <col min="9475" max="9475" width="21" style="238" bestFit="1" customWidth="1"/>
    <col min="9476" max="9476" width="7.28515625" style="238" customWidth="1"/>
    <col min="9477" max="9477" width="5.140625" style="238" bestFit="1" customWidth="1"/>
    <col min="9478" max="9478" width="2.140625" style="238" customWidth="1"/>
    <col min="9479" max="9479" width="21.42578125" style="238" customWidth="1"/>
    <col min="9480" max="9483" width="8.7109375" style="238" customWidth="1"/>
    <col min="9484" max="9490" width="8.7109375" style="238" bestFit="1" customWidth="1"/>
    <col min="9491" max="9728" width="11.42578125" style="238"/>
    <col min="9729" max="9729" width="5.7109375" style="238" bestFit="1" customWidth="1"/>
    <col min="9730" max="9730" width="5" style="238" bestFit="1" customWidth="1"/>
    <col min="9731" max="9731" width="21" style="238" bestFit="1" customWidth="1"/>
    <col min="9732" max="9732" width="7.28515625" style="238" customWidth="1"/>
    <col min="9733" max="9733" width="5.140625" style="238" bestFit="1" customWidth="1"/>
    <col min="9734" max="9734" width="2.140625" style="238" customWidth="1"/>
    <col min="9735" max="9735" width="21.42578125" style="238" customWidth="1"/>
    <col min="9736" max="9739" width="8.7109375" style="238" customWidth="1"/>
    <col min="9740" max="9746" width="8.7109375" style="238" bestFit="1" customWidth="1"/>
    <col min="9747" max="9984" width="11.42578125" style="238"/>
    <col min="9985" max="9985" width="5.7109375" style="238" bestFit="1" customWidth="1"/>
    <col min="9986" max="9986" width="5" style="238" bestFit="1" customWidth="1"/>
    <col min="9987" max="9987" width="21" style="238" bestFit="1" customWidth="1"/>
    <col min="9988" max="9988" width="7.28515625" style="238" customWidth="1"/>
    <col min="9989" max="9989" width="5.140625" style="238" bestFit="1" customWidth="1"/>
    <col min="9990" max="9990" width="2.140625" style="238" customWidth="1"/>
    <col min="9991" max="9991" width="21.42578125" style="238" customWidth="1"/>
    <col min="9992" max="9995" width="8.7109375" style="238" customWidth="1"/>
    <col min="9996" max="10002" width="8.7109375" style="238" bestFit="1" customWidth="1"/>
    <col min="10003" max="10240" width="11.42578125" style="238"/>
    <col min="10241" max="10241" width="5.7109375" style="238" bestFit="1" customWidth="1"/>
    <col min="10242" max="10242" width="5" style="238" bestFit="1" customWidth="1"/>
    <col min="10243" max="10243" width="21" style="238" bestFit="1" customWidth="1"/>
    <col min="10244" max="10244" width="7.28515625" style="238" customWidth="1"/>
    <col min="10245" max="10245" width="5.140625" style="238" bestFit="1" customWidth="1"/>
    <col min="10246" max="10246" width="2.140625" style="238" customWidth="1"/>
    <col min="10247" max="10247" width="21.42578125" style="238" customWidth="1"/>
    <col min="10248" max="10251" width="8.7109375" style="238" customWidth="1"/>
    <col min="10252" max="10258" width="8.7109375" style="238" bestFit="1" customWidth="1"/>
    <col min="10259" max="10496" width="11.42578125" style="238"/>
    <col min="10497" max="10497" width="5.7109375" style="238" bestFit="1" customWidth="1"/>
    <col min="10498" max="10498" width="5" style="238" bestFit="1" customWidth="1"/>
    <col min="10499" max="10499" width="21" style="238" bestFit="1" customWidth="1"/>
    <col min="10500" max="10500" width="7.28515625" style="238" customWidth="1"/>
    <col min="10501" max="10501" width="5.140625" style="238" bestFit="1" customWidth="1"/>
    <col min="10502" max="10502" width="2.140625" style="238" customWidth="1"/>
    <col min="10503" max="10503" width="21.42578125" style="238" customWidth="1"/>
    <col min="10504" max="10507" width="8.7109375" style="238" customWidth="1"/>
    <col min="10508" max="10514" width="8.7109375" style="238" bestFit="1" customWidth="1"/>
    <col min="10515" max="10752" width="11.42578125" style="238"/>
    <col min="10753" max="10753" width="5.7109375" style="238" bestFit="1" customWidth="1"/>
    <col min="10754" max="10754" width="5" style="238" bestFit="1" customWidth="1"/>
    <col min="10755" max="10755" width="21" style="238" bestFit="1" customWidth="1"/>
    <col min="10756" max="10756" width="7.28515625" style="238" customWidth="1"/>
    <col min="10757" max="10757" width="5.140625" style="238" bestFit="1" customWidth="1"/>
    <col min="10758" max="10758" width="2.140625" style="238" customWidth="1"/>
    <col min="10759" max="10759" width="21.42578125" style="238" customWidth="1"/>
    <col min="10760" max="10763" width="8.7109375" style="238" customWidth="1"/>
    <col min="10764" max="10770" width="8.7109375" style="238" bestFit="1" customWidth="1"/>
    <col min="10771" max="11008" width="11.42578125" style="238"/>
    <col min="11009" max="11009" width="5.7109375" style="238" bestFit="1" customWidth="1"/>
    <col min="11010" max="11010" width="5" style="238" bestFit="1" customWidth="1"/>
    <col min="11011" max="11011" width="21" style="238" bestFit="1" customWidth="1"/>
    <col min="11012" max="11012" width="7.28515625" style="238" customWidth="1"/>
    <col min="11013" max="11013" width="5.140625" style="238" bestFit="1" customWidth="1"/>
    <col min="11014" max="11014" width="2.140625" style="238" customWidth="1"/>
    <col min="11015" max="11015" width="21.42578125" style="238" customWidth="1"/>
    <col min="11016" max="11019" width="8.7109375" style="238" customWidth="1"/>
    <col min="11020" max="11026" width="8.7109375" style="238" bestFit="1" customWidth="1"/>
    <col min="11027" max="11264" width="11.42578125" style="238"/>
    <col min="11265" max="11265" width="5.7109375" style="238" bestFit="1" customWidth="1"/>
    <col min="11266" max="11266" width="5" style="238" bestFit="1" customWidth="1"/>
    <col min="11267" max="11267" width="21" style="238" bestFit="1" customWidth="1"/>
    <col min="11268" max="11268" width="7.28515625" style="238" customWidth="1"/>
    <col min="11269" max="11269" width="5.140625" style="238" bestFit="1" customWidth="1"/>
    <col min="11270" max="11270" width="2.140625" style="238" customWidth="1"/>
    <col min="11271" max="11271" width="21.42578125" style="238" customWidth="1"/>
    <col min="11272" max="11275" width="8.7109375" style="238" customWidth="1"/>
    <col min="11276" max="11282" width="8.7109375" style="238" bestFit="1" customWidth="1"/>
    <col min="11283" max="11520" width="11.42578125" style="238"/>
    <col min="11521" max="11521" width="5.7109375" style="238" bestFit="1" customWidth="1"/>
    <col min="11522" max="11522" width="5" style="238" bestFit="1" customWidth="1"/>
    <col min="11523" max="11523" width="21" style="238" bestFit="1" customWidth="1"/>
    <col min="11524" max="11524" width="7.28515625" style="238" customWidth="1"/>
    <col min="11525" max="11525" width="5.140625" style="238" bestFit="1" customWidth="1"/>
    <col min="11526" max="11526" width="2.140625" style="238" customWidth="1"/>
    <col min="11527" max="11527" width="21.42578125" style="238" customWidth="1"/>
    <col min="11528" max="11531" width="8.7109375" style="238" customWidth="1"/>
    <col min="11532" max="11538" width="8.7109375" style="238" bestFit="1" customWidth="1"/>
    <col min="11539" max="11776" width="11.42578125" style="238"/>
    <col min="11777" max="11777" width="5.7109375" style="238" bestFit="1" customWidth="1"/>
    <col min="11778" max="11778" width="5" style="238" bestFit="1" customWidth="1"/>
    <col min="11779" max="11779" width="21" style="238" bestFit="1" customWidth="1"/>
    <col min="11780" max="11780" width="7.28515625" style="238" customWidth="1"/>
    <col min="11781" max="11781" width="5.140625" style="238" bestFit="1" customWidth="1"/>
    <col min="11782" max="11782" width="2.140625" style="238" customWidth="1"/>
    <col min="11783" max="11783" width="21.42578125" style="238" customWidth="1"/>
    <col min="11784" max="11787" width="8.7109375" style="238" customWidth="1"/>
    <col min="11788" max="11794" width="8.7109375" style="238" bestFit="1" customWidth="1"/>
    <col min="11795" max="12032" width="11.42578125" style="238"/>
    <col min="12033" max="12033" width="5.7109375" style="238" bestFit="1" customWidth="1"/>
    <col min="12034" max="12034" width="5" style="238" bestFit="1" customWidth="1"/>
    <col min="12035" max="12035" width="21" style="238" bestFit="1" customWidth="1"/>
    <col min="12036" max="12036" width="7.28515625" style="238" customWidth="1"/>
    <col min="12037" max="12037" width="5.140625" style="238" bestFit="1" customWidth="1"/>
    <col min="12038" max="12038" width="2.140625" style="238" customWidth="1"/>
    <col min="12039" max="12039" width="21.42578125" style="238" customWidth="1"/>
    <col min="12040" max="12043" width="8.7109375" style="238" customWidth="1"/>
    <col min="12044" max="12050" width="8.7109375" style="238" bestFit="1" customWidth="1"/>
    <col min="12051" max="12288" width="11.42578125" style="238"/>
    <col min="12289" max="12289" width="5.7109375" style="238" bestFit="1" customWidth="1"/>
    <col min="12290" max="12290" width="5" style="238" bestFit="1" customWidth="1"/>
    <col min="12291" max="12291" width="21" style="238" bestFit="1" customWidth="1"/>
    <col min="12292" max="12292" width="7.28515625" style="238" customWidth="1"/>
    <col min="12293" max="12293" width="5.140625" style="238" bestFit="1" customWidth="1"/>
    <col min="12294" max="12294" width="2.140625" style="238" customWidth="1"/>
    <col min="12295" max="12295" width="21.42578125" style="238" customWidth="1"/>
    <col min="12296" max="12299" width="8.7109375" style="238" customWidth="1"/>
    <col min="12300" max="12306" width="8.7109375" style="238" bestFit="1" customWidth="1"/>
    <col min="12307" max="12544" width="11.42578125" style="238"/>
    <col min="12545" max="12545" width="5.7109375" style="238" bestFit="1" customWidth="1"/>
    <col min="12546" max="12546" width="5" style="238" bestFit="1" customWidth="1"/>
    <col min="12547" max="12547" width="21" style="238" bestFit="1" customWidth="1"/>
    <col min="12548" max="12548" width="7.28515625" style="238" customWidth="1"/>
    <col min="12549" max="12549" width="5.140625" style="238" bestFit="1" customWidth="1"/>
    <col min="12550" max="12550" width="2.140625" style="238" customWidth="1"/>
    <col min="12551" max="12551" width="21.42578125" style="238" customWidth="1"/>
    <col min="12552" max="12555" width="8.7109375" style="238" customWidth="1"/>
    <col min="12556" max="12562" width="8.7109375" style="238" bestFit="1" customWidth="1"/>
    <col min="12563" max="12800" width="11.42578125" style="238"/>
    <col min="12801" max="12801" width="5.7109375" style="238" bestFit="1" customWidth="1"/>
    <col min="12802" max="12802" width="5" style="238" bestFit="1" customWidth="1"/>
    <col min="12803" max="12803" width="21" style="238" bestFit="1" customWidth="1"/>
    <col min="12804" max="12804" width="7.28515625" style="238" customWidth="1"/>
    <col min="12805" max="12805" width="5.140625" style="238" bestFit="1" customWidth="1"/>
    <col min="12806" max="12806" width="2.140625" style="238" customWidth="1"/>
    <col min="12807" max="12807" width="21.42578125" style="238" customWidth="1"/>
    <col min="12808" max="12811" width="8.7109375" style="238" customWidth="1"/>
    <col min="12812" max="12818" width="8.7109375" style="238" bestFit="1" customWidth="1"/>
    <col min="12819" max="13056" width="11.42578125" style="238"/>
    <col min="13057" max="13057" width="5.7109375" style="238" bestFit="1" customWidth="1"/>
    <col min="13058" max="13058" width="5" style="238" bestFit="1" customWidth="1"/>
    <col min="13059" max="13059" width="21" style="238" bestFit="1" customWidth="1"/>
    <col min="13060" max="13060" width="7.28515625" style="238" customWidth="1"/>
    <col min="13061" max="13061" width="5.140625" style="238" bestFit="1" customWidth="1"/>
    <col min="13062" max="13062" width="2.140625" style="238" customWidth="1"/>
    <col min="13063" max="13063" width="21.42578125" style="238" customWidth="1"/>
    <col min="13064" max="13067" width="8.7109375" style="238" customWidth="1"/>
    <col min="13068" max="13074" width="8.7109375" style="238" bestFit="1" customWidth="1"/>
    <col min="13075" max="13312" width="11.42578125" style="238"/>
    <col min="13313" max="13313" width="5.7109375" style="238" bestFit="1" customWidth="1"/>
    <col min="13314" max="13314" width="5" style="238" bestFit="1" customWidth="1"/>
    <col min="13315" max="13315" width="21" style="238" bestFit="1" customWidth="1"/>
    <col min="13316" max="13316" width="7.28515625" style="238" customWidth="1"/>
    <col min="13317" max="13317" width="5.140625" style="238" bestFit="1" customWidth="1"/>
    <col min="13318" max="13318" width="2.140625" style="238" customWidth="1"/>
    <col min="13319" max="13319" width="21.42578125" style="238" customWidth="1"/>
    <col min="13320" max="13323" width="8.7109375" style="238" customWidth="1"/>
    <col min="13324" max="13330" width="8.7109375" style="238" bestFit="1" customWidth="1"/>
    <col min="13331" max="13568" width="11.42578125" style="238"/>
    <col min="13569" max="13569" width="5.7109375" style="238" bestFit="1" customWidth="1"/>
    <col min="13570" max="13570" width="5" style="238" bestFit="1" customWidth="1"/>
    <col min="13571" max="13571" width="21" style="238" bestFit="1" customWidth="1"/>
    <col min="13572" max="13572" width="7.28515625" style="238" customWidth="1"/>
    <col min="13573" max="13573" width="5.140625" style="238" bestFit="1" customWidth="1"/>
    <col min="13574" max="13574" width="2.140625" style="238" customWidth="1"/>
    <col min="13575" max="13575" width="21.42578125" style="238" customWidth="1"/>
    <col min="13576" max="13579" width="8.7109375" style="238" customWidth="1"/>
    <col min="13580" max="13586" width="8.7109375" style="238" bestFit="1" customWidth="1"/>
    <col min="13587" max="13824" width="11.42578125" style="238"/>
    <col min="13825" max="13825" width="5.7109375" style="238" bestFit="1" customWidth="1"/>
    <col min="13826" max="13826" width="5" style="238" bestFit="1" customWidth="1"/>
    <col min="13827" max="13827" width="21" style="238" bestFit="1" customWidth="1"/>
    <col min="13828" max="13828" width="7.28515625" style="238" customWidth="1"/>
    <col min="13829" max="13829" width="5.140625" style="238" bestFit="1" customWidth="1"/>
    <col min="13830" max="13830" width="2.140625" style="238" customWidth="1"/>
    <col min="13831" max="13831" width="21.42578125" style="238" customWidth="1"/>
    <col min="13832" max="13835" width="8.7109375" style="238" customWidth="1"/>
    <col min="13836" max="13842" width="8.7109375" style="238" bestFit="1" customWidth="1"/>
    <col min="13843" max="14080" width="11.42578125" style="238"/>
    <col min="14081" max="14081" width="5.7109375" style="238" bestFit="1" customWidth="1"/>
    <col min="14082" max="14082" width="5" style="238" bestFit="1" customWidth="1"/>
    <col min="14083" max="14083" width="21" style="238" bestFit="1" customWidth="1"/>
    <col min="14084" max="14084" width="7.28515625" style="238" customWidth="1"/>
    <col min="14085" max="14085" width="5.140625" style="238" bestFit="1" customWidth="1"/>
    <col min="14086" max="14086" width="2.140625" style="238" customWidth="1"/>
    <col min="14087" max="14087" width="21.42578125" style="238" customWidth="1"/>
    <col min="14088" max="14091" width="8.7109375" style="238" customWidth="1"/>
    <col min="14092" max="14098" width="8.7109375" style="238" bestFit="1" customWidth="1"/>
    <col min="14099" max="14336" width="11.42578125" style="238"/>
    <col min="14337" max="14337" width="5.7109375" style="238" bestFit="1" customWidth="1"/>
    <col min="14338" max="14338" width="5" style="238" bestFit="1" customWidth="1"/>
    <col min="14339" max="14339" width="21" style="238" bestFit="1" customWidth="1"/>
    <col min="14340" max="14340" width="7.28515625" style="238" customWidth="1"/>
    <col min="14341" max="14341" width="5.140625" style="238" bestFit="1" customWidth="1"/>
    <col min="14342" max="14342" width="2.140625" style="238" customWidth="1"/>
    <col min="14343" max="14343" width="21.42578125" style="238" customWidth="1"/>
    <col min="14344" max="14347" width="8.7109375" style="238" customWidth="1"/>
    <col min="14348" max="14354" width="8.7109375" style="238" bestFit="1" customWidth="1"/>
    <col min="14355" max="14592" width="11.42578125" style="238"/>
    <col min="14593" max="14593" width="5.7109375" style="238" bestFit="1" customWidth="1"/>
    <col min="14594" max="14594" width="5" style="238" bestFit="1" customWidth="1"/>
    <col min="14595" max="14595" width="21" style="238" bestFit="1" customWidth="1"/>
    <col min="14596" max="14596" width="7.28515625" style="238" customWidth="1"/>
    <col min="14597" max="14597" width="5.140625" style="238" bestFit="1" customWidth="1"/>
    <col min="14598" max="14598" width="2.140625" style="238" customWidth="1"/>
    <col min="14599" max="14599" width="21.42578125" style="238" customWidth="1"/>
    <col min="14600" max="14603" width="8.7109375" style="238" customWidth="1"/>
    <col min="14604" max="14610" width="8.7109375" style="238" bestFit="1" customWidth="1"/>
    <col min="14611" max="14848" width="11.42578125" style="238"/>
    <col min="14849" max="14849" width="5.7109375" style="238" bestFit="1" customWidth="1"/>
    <col min="14850" max="14850" width="5" style="238" bestFit="1" customWidth="1"/>
    <col min="14851" max="14851" width="21" style="238" bestFit="1" customWidth="1"/>
    <col min="14852" max="14852" width="7.28515625" style="238" customWidth="1"/>
    <col min="14853" max="14853" width="5.140625" style="238" bestFit="1" customWidth="1"/>
    <col min="14854" max="14854" width="2.140625" style="238" customWidth="1"/>
    <col min="14855" max="14855" width="21.42578125" style="238" customWidth="1"/>
    <col min="14856" max="14859" width="8.7109375" style="238" customWidth="1"/>
    <col min="14860" max="14866" width="8.7109375" style="238" bestFit="1" customWidth="1"/>
    <col min="14867" max="15104" width="11.42578125" style="238"/>
    <col min="15105" max="15105" width="5.7109375" style="238" bestFit="1" customWidth="1"/>
    <col min="15106" max="15106" width="5" style="238" bestFit="1" customWidth="1"/>
    <col min="15107" max="15107" width="21" style="238" bestFit="1" customWidth="1"/>
    <col min="15108" max="15108" width="7.28515625" style="238" customWidth="1"/>
    <col min="15109" max="15109" width="5.140625" style="238" bestFit="1" customWidth="1"/>
    <col min="15110" max="15110" width="2.140625" style="238" customWidth="1"/>
    <col min="15111" max="15111" width="21.42578125" style="238" customWidth="1"/>
    <col min="15112" max="15115" width="8.7109375" style="238" customWidth="1"/>
    <col min="15116" max="15122" width="8.7109375" style="238" bestFit="1" customWidth="1"/>
    <col min="15123" max="15360" width="11.42578125" style="238"/>
    <col min="15361" max="15361" width="5.7109375" style="238" bestFit="1" customWidth="1"/>
    <col min="15362" max="15362" width="5" style="238" bestFit="1" customWidth="1"/>
    <col min="15363" max="15363" width="21" style="238" bestFit="1" customWidth="1"/>
    <col min="15364" max="15364" width="7.28515625" style="238" customWidth="1"/>
    <col min="15365" max="15365" width="5.140625" style="238" bestFit="1" customWidth="1"/>
    <col min="15366" max="15366" width="2.140625" style="238" customWidth="1"/>
    <col min="15367" max="15367" width="21.42578125" style="238" customWidth="1"/>
    <col min="15368" max="15371" width="8.7109375" style="238" customWidth="1"/>
    <col min="15372" max="15378" width="8.7109375" style="238" bestFit="1" customWidth="1"/>
    <col min="15379" max="15616" width="11.42578125" style="238"/>
    <col min="15617" max="15617" width="5.7109375" style="238" bestFit="1" customWidth="1"/>
    <col min="15618" max="15618" width="5" style="238" bestFit="1" customWidth="1"/>
    <col min="15619" max="15619" width="21" style="238" bestFit="1" customWidth="1"/>
    <col min="15620" max="15620" width="7.28515625" style="238" customWidth="1"/>
    <col min="15621" max="15621" width="5.140625" style="238" bestFit="1" customWidth="1"/>
    <col min="15622" max="15622" width="2.140625" style="238" customWidth="1"/>
    <col min="15623" max="15623" width="21.42578125" style="238" customWidth="1"/>
    <col min="15624" max="15627" width="8.7109375" style="238" customWidth="1"/>
    <col min="15628" max="15634" width="8.7109375" style="238" bestFit="1" customWidth="1"/>
    <col min="15635" max="15872" width="11.42578125" style="238"/>
    <col min="15873" max="15873" width="5.7109375" style="238" bestFit="1" customWidth="1"/>
    <col min="15874" max="15874" width="5" style="238" bestFit="1" customWidth="1"/>
    <col min="15875" max="15875" width="21" style="238" bestFit="1" customWidth="1"/>
    <col min="15876" max="15876" width="7.28515625" style="238" customWidth="1"/>
    <col min="15877" max="15877" width="5.140625" style="238" bestFit="1" customWidth="1"/>
    <col min="15878" max="15878" width="2.140625" style="238" customWidth="1"/>
    <col min="15879" max="15879" width="21.42578125" style="238" customWidth="1"/>
    <col min="15880" max="15883" width="8.7109375" style="238" customWidth="1"/>
    <col min="15884" max="15890" width="8.7109375" style="238" bestFit="1" customWidth="1"/>
    <col min="15891" max="16128" width="11.42578125" style="238"/>
    <col min="16129" max="16129" width="5.7109375" style="238" bestFit="1" customWidth="1"/>
    <col min="16130" max="16130" width="5" style="238" bestFit="1" customWidth="1"/>
    <col min="16131" max="16131" width="21" style="238" bestFit="1" customWidth="1"/>
    <col min="16132" max="16132" width="7.28515625" style="238" customWidth="1"/>
    <col min="16133" max="16133" width="5.140625" style="238" bestFit="1" customWidth="1"/>
    <col min="16134" max="16134" width="2.140625" style="238" customWidth="1"/>
    <col min="16135" max="16135" width="21.42578125" style="238" customWidth="1"/>
    <col min="16136" max="16139" width="8.7109375" style="238" customWidth="1"/>
    <col min="16140" max="16146" width="8.7109375" style="238" bestFit="1" customWidth="1"/>
    <col min="16147" max="16384" width="11.42578125" style="238"/>
  </cols>
  <sheetData>
    <row r="1" spans="1:18" x14ac:dyDescent="0.2">
      <c r="A1" s="235"/>
      <c r="C1" s="237"/>
      <c r="D1" s="237"/>
      <c r="E1" s="235"/>
      <c r="F1" s="235"/>
      <c r="G1" s="238"/>
    </row>
    <row r="2" spans="1:18" x14ac:dyDescent="0.2">
      <c r="A2" s="237" t="s">
        <v>0</v>
      </c>
      <c r="B2" s="239" t="s">
        <v>1</v>
      </c>
      <c r="C2" s="237" t="s">
        <v>2</v>
      </c>
      <c r="D2" s="237"/>
      <c r="E2" s="235" t="s">
        <v>3</v>
      </c>
      <c r="F2" s="235"/>
      <c r="G2" s="240" t="s">
        <v>436</v>
      </c>
      <c r="H2" s="241" t="s">
        <v>437</v>
      </c>
      <c r="I2" s="242"/>
      <c r="J2" s="242"/>
      <c r="K2" s="1190" t="s">
        <v>6</v>
      </c>
      <c r="L2" s="1191"/>
      <c r="M2" s="1192" t="s">
        <v>438</v>
      </c>
      <c r="N2" s="1193"/>
      <c r="O2" s="1193"/>
      <c r="P2" s="1193"/>
      <c r="Q2" s="1193"/>
      <c r="R2" s="1194"/>
    </row>
    <row r="3" spans="1:18" x14ac:dyDescent="0.2">
      <c r="A3" s="235"/>
      <c r="B3" s="243"/>
      <c r="C3" s="237"/>
      <c r="D3" s="237"/>
      <c r="E3" s="235"/>
      <c r="F3" s="235"/>
      <c r="G3" s="244" t="s">
        <v>7</v>
      </c>
      <c r="H3" s="245">
        <v>40908</v>
      </c>
      <c r="I3" s="245">
        <v>41274</v>
      </c>
      <c r="J3" s="245">
        <v>41639</v>
      </c>
      <c r="K3" s="245">
        <v>42004</v>
      </c>
      <c r="L3" s="246">
        <v>42369</v>
      </c>
      <c r="M3" s="246">
        <v>42735</v>
      </c>
      <c r="N3" s="246">
        <v>43100</v>
      </c>
      <c r="O3" s="246">
        <v>43465</v>
      </c>
      <c r="P3" s="246">
        <v>43830</v>
      </c>
      <c r="Q3" s="246">
        <v>44196</v>
      </c>
      <c r="R3" s="246">
        <v>44561</v>
      </c>
    </row>
    <row r="4" spans="1:18" x14ac:dyDescent="0.2">
      <c r="A4" s="247"/>
      <c r="B4" s="236" t="s">
        <v>8</v>
      </c>
      <c r="C4" s="237">
        <v>1</v>
      </c>
      <c r="D4" s="237"/>
      <c r="E4" s="239"/>
      <c r="F4" s="247"/>
      <c r="G4" s="248" t="s">
        <v>9</v>
      </c>
      <c r="H4" s="249">
        <f t="shared" ref="H4:R4" si="0">H5+H10</f>
        <v>0</v>
      </c>
      <c r="I4" s="249">
        <f t="shared" si="0"/>
        <v>0</v>
      </c>
      <c r="J4" s="249">
        <f t="shared" si="0"/>
        <v>0</v>
      </c>
      <c r="K4" s="249">
        <f t="shared" si="0"/>
        <v>72.506</v>
      </c>
      <c r="L4" s="249">
        <f t="shared" si="0"/>
        <v>192.00199999999998</v>
      </c>
      <c r="M4" s="249">
        <f t="shared" si="0"/>
        <v>291.976</v>
      </c>
      <c r="N4" s="249">
        <f t="shared" si="0"/>
        <v>298.71300000000002</v>
      </c>
      <c r="O4" s="249">
        <f t="shared" si="0"/>
        <v>313.69400000000002</v>
      </c>
      <c r="P4" s="249">
        <f t="shared" si="0"/>
        <v>325.22699999999998</v>
      </c>
      <c r="Q4" s="249">
        <f t="shared" si="0"/>
        <v>335.19599999999997</v>
      </c>
      <c r="R4" s="249">
        <f t="shared" si="0"/>
        <v>335.11099999999993</v>
      </c>
    </row>
    <row r="5" spans="1:18" x14ac:dyDescent="0.2">
      <c r="B5" s="236" t="s">
        <v>10</v>
      </c>
      <c r="C5" s="237">
        <v>10</v>
      </c>
      <c r="D5" s="237"/>
      <c r="G5" s="252" t="s">
        <v>11</v>
      </c>
      <c r="H5" s="249">
        <f t="shared" ref="H5:Q5" si="1">SUM(H6:H9)</f>
        <v>0</v>
      </c>
      <c r="I5" s="249">
        <f t="shared" si="1"/>
        <v>0</v>
      </c>
      <c r="J5" s="249">
        <f t="shared" si="1"/>
        <v>0</v>
      </c>
      <c r="K5" s="249">
        <f t="shared" si="1"/>
        <v>57.292999999999999</v>
      </c>
      <c r="L5" s="249">
        <f t="shared" si="1"/>
        <v>178.30699999999999</v>
      </c>
      <c r="M5" s="249">
        <f t="shared" si="1"/>
        <v>279.435</v>
      </c>
      <c r="N5" s="249">
        <f t="shared" si="1"/>
        <v>287.24700000000001</v>
      </c>
      <c r="O5" s="249">
        <f t="shared" si="1"/>
        <v>303.303</v>
      </c>
      <c r="P5" s="249">
        <f t="shared" si="1"/>
        <v>315.911</v>
      </c>
      <c r="Q5" s="249">
        <f t="shared" si="1"/>
        <v>326.95499999999998</v>
      </c>
      <c r="R5" s="249">
        <f>SUM(R6:R9)</f>
        <v>335.11099999999993</v>
      </c>
    </row>
    <row r="6" spans="1:18" ht="12" x14ac:dyDescent="0.2">
      <c r="B6" s="236" t="s">
        <v>12</v>
      </c>
      <c r="C6" s="253" t="s">
        <v>13</v>
      </c>
      <c r="E6" s="254" t="s">
        <v>14</v>
      </c>
      <c r="G6" s="252" t="s">
        <v>15</v>
      </c>
      <c r="H6" s="255">
        <v>0</v>
      </c>
      <c r="I6" s="255">
        <v>0</v>
      </c>
      <c r="J6" s="255">
        <v>0</v>
      </c>
      <c r="K6" s="255">
        <v>0</v>
      </c>
      <c r="L6" s="255">
        <v>167.76</v>
      </c>
      <c r="M6" s="255">
        <v>206.21299999999999</v>
      </c>
      <c r="N6" s="255">
        <f>M6+N30-N45</f>
        <v>214.607</v>
      </c>
      <c r="O6" s="255">
        <f>N6+O30-O45</f>
        <v>230.66299999999998</v>
      </c>
      <c r="P6" s="255">
        <f>O6+P30-P45</f>
        <v>244.27099999999999</v>
      </c>
      <c r="Q6" s="255">
        <f>P6+Q30-Q45</f>
        <v>255.315</v>
      </c>
      <c r="R6" s="255">
        <f>Q6+R30-R45</f>
        <v>263.47099999999995</v>
      </c>
    </row>
    <row r="7" spans="1:18" ht="12" x14ac:dyDescent="0.2">
      <c r="B7" s="236" t="s">
        <v>16</v>
      </c>
      <c r="C7" s="253" t="s">
        <v>17</v>
      </c>
      <c r="E7" s="254" t="s">
        <v>14</v>
      </c>
      <c r="G7" s="252" t="s">
        <v>18</v>
      </c>
      <c r="H7" s="255">
        <v>0</v>
      </c>
      <c r="I7" s="255">
        <v>0</v>
      </c>
      <c r="J7" s="255">
        <v>0</v>
      </c>
      <c r="K7" s="255">
        <v>51.058</v>
      </c>
      <c r="L7" s="255">
        <v>5.4359999999999999</v>
      </c>
      <c r="M7" s="255">
        <v>68.64</v>
      </c>
      <c r="N7" s="255">
        <f>M7</f>
        <v>68.64</v>
      </c>
      <c r="O7" s="255">
        <f>N7</f>
        <v>68.64</v>
      </c>
      <c r="P7" s="255">
        <f>O7</f>
        <v>68.64</v>
      </c>
      <c r="Q7" s="255">
        <f>P7</f>
        <v>68.64</v>
      </c>
      <c r="R7" s="255">
        <f>Q7</f>
        <v>68.64</v>
      </c>
    </row>
    <row r="8" spans="1:18" ht="12" x14ac:dyDescent="0.2">
      <c r="B8" s="236" t="s">
        <v>19</v>
      </c>
      <c r="C8" s="253" t="s">
        <v>20</v>
      </c>
      <c r="E8" s="254" t="s">
        <v>14</v>
      </c>
      <c r="G8" s="252" t="s">
        <v>21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55">
        <v>0</v>
      </c>
      <c r="Q8" s="255">
        <v>0</v>
      </c>
      <c r="R8" s="255">
        <v>0</v>
      </c>
    </row>
    <row r="9" spans="1:18" x14ac:dyDescent="0.2">
      <c r="B9" s="236" t="s">
        <v>22</v>
      </c>
      <c r="C9" s="253">
        <v>108</v>
      </c>
      <c r="E9" s="256"/>
      <c r="G9" s="252" t="s">
        <v>23</v>
      </c>
      <c r="H9" s="255">
        <v>0</v>
      </c>
      <c r="I9" s="255">
        <v>0</v>
      </c>
      <c r="J9" s="255">
        <v>0</v>
      </c>
      <c r="K9" s="255">
        <v>6.2350000000000003</v>
      </c>
      <c r="L9" s="255">
        <v>5.1109999999999998</v>
      </c>
      <c r="M9" s="255">
        <v>4.5819999999999999</v>
      </c>
      <c r="N9" s="255">
        <v>4</v>
      </c>
      <c r="O9" s="255">
        <v>4</v>
      </c>
      <c r="P9" s="255">
        <v>3</v>
      </c>
      <c r="Q9" s="255">
        <v>3</v>
      </c>
      <c r="R9" s="255">
        <v>3</v>
      </c>
    </row>
    <row r="10" spans="1:18" x14ac:dyDescent="0.2">
      <c r="A10" s="257"/>
      <c r="B10" s="236" t="s">
        <v>24</v>
      </c>
      <c r="C10" s="258">
        <v>15</v>
      </c>
      <c r="D10" s="258"/>
      <c r="E10" s="256"/>
      <c r="F10" s="257"/>
      <c r="G10" s="252" t="s">
        <v>25</v>
      </c>
      <c r="H10" s="249">
        <f>SUM(H11:H16)</f>
        <v>0</v>
      </c>
      <c r="I10" s="249">
        <f t="shared" ref="I10:R10" si="2">SUM(I11:I16)</f>
        <v>0</v>
      </c>
      <c r="J10" s="249">
        <f t="shared" si="2"/>
        <v>0</v>
      </c>
      <c r="K10" s="249">
        <f t="shared" si="2"/>
        <v>15.212999999999999</v>
      </c>
      <c r="L10" s="249">
        <f t="shared" si="2"/>
        <v>13.695</v>
      </c>
      <c r="M10" s="249">
        <f t="shared" si="2"/>
        <v>12.541</v>
      </c>
      <c r="N10" s="249">
        <f t="shared" si="2"/>
        <v>11.465999999999999</v>
      </c>
      <c r="O10" s="249">
        <f t="shared" si="2"/>
        <v>10.391</v>
      </c>
      <c r="P10" s="249">
        <f t="shared" si="2"/>
        <v>9.3160000000000007</v>
      </c>
      <c r="Q10" s="249">
        <f t="shared" si="2"/>
        <v>8.2409999999999997</v>
      </c>
      <c r="R10" s="249">
        <f t="shared" si="2"/>
        <v>0</v>
      </c>
    </row>
    <row r="11" spans="1:18" ht="12" x14ac:dyDescent="0.2">
      <c r="A11" s="257"/>
      <c r="B11" s="236" t="s">
        <v>26</v>
      </c>
      <c r="C11" s="258">
        <v>150</v>
      </c>
      <c r="D11" s="258"/>
      <c r="E11" s="254" t="s">
        <v>14</v>
      </c>
      <c r="F11" s="257"/>
      <c r="G11" s="252" t="s">
        <v>27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55">
        <v>0</v>
      </c>
      <c r="Q11" s="255">
        <v>0</v>
      </c>
      <c r="R11" s="255">
        <v>0</v>
      </c>
    </row>
    <row r="12" spans="1:18" ht="12" x14ac:dyDescent="0.2">
      <c r="A12" s="257"/>
      <c r="B12" s="236" t="s">
        <v>28</v>
      </c>
      <c r="C12" s="258">
        <v>151</v>
      </c>
      <c r="D12" s="258"/>
      <c r="E12" s="254" t="s">
        <v>14</v>
      </c>
      <c r="F12" s="257"/>
      <c r="G12" s="252" t="s">
        <v>29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  <c r="Q12" s="255">
        <v>0</v>
      </c>
      <c r="R12" s="255">
        <v>0</v>
      </c>
    </row>
    <row r="13" spans="1:18" ht="12" x14ac:dyDescent="0.2">
      <c r="B13" s="236" t="s">
        <v>30</v>
      </c>
      <c r="C13" s="253" t="s">
        <v>31</v>
      </c>
      <c r="E13" s="254" t="s">
        <v>14</v>
      </c>
      <c r="G13" s="252" t="s">
        <v>32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55">
        <v>0</v>
      </c>
      <c r="Q13" s="255">
        <v>0</v>
      </c>
      <c r="R13" s="255">
        <v>0</v>
      </c>
    </row>
    <row r="14" spans="1:18" ht="12" x14ac:dyDescent="0.2">
      <c r="B14" s="236" t="s">
        <v>33</v>
      </c>
      <c r="C14" s="253">
        <v>154</v>
      </c>
      <c r="E14" s="254" t="s">
        <v>14</v>
      </c>
      <c r="G14" s="252" t="s">
        <v>34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55">
        <v>0</v>
      </c>
      <c r="R14" s="255">
        <v>0</v>
      </c>
    </row>
    <row r="15" spans="1:18" ht="12" x14ac:dyDescent="0.2">
      <c r="B15" s="236" t="s">
        <v>35</v>
      </c>
      <c r="C15" s="253" t="s">
        <v>36</v>
      </c>
      <c r="E15" s="254" t="s">
        <v>14</v>
      </c>
      <c r="G15" s="252" t="s">
        <v>37</v>
      </c>
      <c r="H15" s="255">
        <v>0</v>
      </c>
      <c r="I15" s="255">
        <v>0</v>
      </c>
      <c r="J15" s="255">
        <v>0</v>
      </c>
      <c r="K15" s="255">
        <v>15.212999999999999</v>
      </c>
      <c r="L15" s="255">
        <v>13.695</v>
      </c>
      <c r="M15" s="255">
        <v>12.541</v>
      </c>
      <c r="N15" s="255">
        <v>11.465999999999999</v>
      </c>
      <c r="O15" s="255">
        <v>10.391</v>
      </c>
      <c r="P15" s="255">
        <v>9.3160000000000007</v>
      </c>
      <c r="Q15" s="255">
        <v>8.2409999999999997</v>
      </c>
      <c r="R15" s="255">
        <v>0</v>
      </c>
    </row>
    <row r="16" spans="1:18" ht="12" x14ac:dyDescent="0.2">
      <c r="B16" s="236" t="s">
        <v>38</v>
      </c>
      <c r="C16" s="253">
        <v>157</v>
      </c>
      <c r="E16" s="254" t="s">
        <v>14</v>
      </c>
      <c r="G16" s="252" t="s">
        <v>39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55">
        <v>0</v>
      </c>
      <c r="R16" s="255">
        <v>0</v>
      </c>
    </row>
    <row r="17" spans="1:19" s="263" customFormat="1" ht="12" x14ac:dyDescent="0.2">
      <c r="A17" s="259"/>
      <c r="B17" s="236" t="s">
        <v>40</v>
      </c>
      <c r="C17" s="259" t="s">
        <v>41</v>
      </c>
      <c r="D17" s="259"/>
      <c r="E17" s="254" t="s">
        <v>14</v>
      </c>
      <c r="F17" s="260"/>
      <c r="G17" s="261" t="s">
        <v>42</v>
      </c>
      <c r="H17" s="262">
        <v>0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>
        <v>0</v>
      </c>
      <c r="Q17" s="262">
        <v>0</v>
      </c>
      <c r="R17" s="262">
        <v>0</v>
      </c>
      <c r="S17" s="238"/>
    </row>
    <row r="18" spans="1:19" x14ac:dyDescent="0.2">
      <c r="B18" s="236" t="s">
        <v>43</v>
      </c>
      <c r="C18" s="253">
        <v>2</v>
      </c>
      <c r="E18" s="256"/>
      <c r="G18" s="252" t="s">
        <v>44</v>
      </c>
      <c r="H18" s="249">
        <f>H19+H27</f>
        <v>0</v>
      </c>
      <c r="I18" s="249">
        <f t="shared" ref="I18:R18" si="3">I19+I27</f>
        <v>0</v>
      </c>
      <c r="J18" s="249">
        <f t="shared" si="3"/>
        <v>0</v>
      </c>
      <c r="K18" s="249">
        <f t="shared" si="3"/>
        <v>72.506</v>
      </c>
      <c r="L18" s="249">
        <f t="shared" si="3"/>
        <v>192.00299999999999</v>
      </c>
      <c r="M18" s="249">
        <f t="shared" si="3"/>
        <v>291.976</v>
      </c>
      <c r="N18" s="249">
        <f t="shared" si="3"/>
        <v>298.71299999999997</v>
      </c>
      <c r="O18" s="249">
        <f t="shared" si="3"/>
        <v>313.69399999999996</v>
      </c>
      <c r="P18" s="249">
        <f t="shared" si="3"/>
        <v>325.22699999999998</v>
      </c>
      <c r="Q18" s="249">
        <f t="shared" si="3"/>
        <v>335.19600000000003</v>
      </c>
      <c r="R18" s="249">
        <f t="shared" si="3"/>
        <v>335.11099999999999</v>
      </c>
    </row>
    <row r="19" spans="1:19" x14ac:dyDescent="0.2">
      <c r="B19" s="236" t="s">
        <v>45</v>
      </c>
      <c r="C19" s="253" t="s">
        <v>46</v>
      </c>
      <c r="E19" s="256"/>
      <c r="G19" s="252" t="s">
        <v>47</v>
      </c>
      <c r="H19" s="249">
        <f>SUM(H21:H26)</f>
        <v>0</v>
      </c>
      <c r="I19" s="249">
        <f t="shared" ref="I19:R19" si="4">SUM(I21:I26)</f>
        <v>0</v>
      </c>
      <c r="J19" s="249">
        <f t="shared" si="4"/>
        <v>0</v>
      </c>
      <c r="K19" s="249">
        <f t="shared" si="4"/>
        <v>39.841999999999999</v>
      </c>
      <c r="L19" s="249">
        <f t="shared" si="4"/>
        <v>106.20399999999999</v>
      </c>
      <c r="M19" s="249">
        <f t="shared" si="4"/>
        <v>155.25899999999999</v>
      </c>
      <c r="N19" s="249">
        <f t="shared" si="4"/>
        <v>155.11799999999999</v>
      </c>
      <c r="O19" s="249">
        <f t="shared" si="4"/>
        <v>155.55799999999999</v>
      </c>
      <c r="P19" s="249">
        <f t="shared" si="4"/>
        <v>154.99700000000001</v>
      </c>
      <c r="Q19" s="249">
        <f t="shared" si="4"/>
        <v>155.435</v>
      </c>
      <c r="R19" s="249">
        <f t="shared" si="4"/>
        <v>148.70699999999999</v>
      </c>
    </row>
    <row r="20" spans="1:19" s="266" customFormat="1" ht="12" x14ac:dyDescent="0.2">
      <c r="A20" s="264"/>
      <c r="B20" s="236" t="s">
        <v>48</v>
      </c>
      <c r="C20" s="259" t="s">
        <v>49</v>
      </c>
      <c r="D20" s="259"/>
      <c r="E20" s="254" t="s">
        <v>14</v>
      </c>
      <c r="F20" s="264"/>
      <c r="G20" s="261" t="s">
        <v>50</v>
      </c>
      <c r="H20" s="265">
        <v>0</v>
      </c>
      <c r="I20" s="265">
        <v>0</v>
      </c>
      <c r="J20" s="265">
        <v>0</v>
      </c>
      <c r="K20" s="265">
        <v>39.841999999999999</v>
      </c>
      <c r="L20" s="265">
        <v>106.20399999999999</v>
      </c>
      <c r="M20" s="265">
        <v>155</v>
      </c>
      <c r="N20" s="265">
        <v>0</v>
      </c>
      <c r="O20" s="265">
        <v>0</v>
      </c>
      <c r="P20" s="265">
        <v>0</v>
      </c>
      <c r="Q20" s="265">
        <v>0</v>
      </c>
      <c r="R20" s="265">
        <v>0</v>
      </c>
    </row>
    <row r="21" spans="1:19" ht="12" x14ac:dyDescent="0.2">
      <c r="B21" s="236" t="s">
        <v>51</v>
      </c>
      <c r="C21" s="267" t="s">
        <v>52</v>
      </c>
      <c r="D21" s="267"/>
      <c r="E21" s="254" t="s">
        <v>14</v>
      </c>
      <c r="G21" s="252" t="s">
        <v>53</v>
      </c>
      <c r="H21" s="255">
        <v>0</v>
      </c>
      <c r="I21" s="255">
        <v>0</v>
      </c>
      <c r="J21" s="255">
        <v>0</v>
      </c>
      <c r="K21" s="255">
        <v>39.841999999999999</v>
      </c>
      <c r="L21" s="255">
        <v>106.20399999999999</v>
      </c>
      <c r="M21" s="255">
        <v>155.25899999999999</v>
      </c>
      <c r="N21" s="255">
        <v>155.11799999999999</v>
      </c>
      <c r="O21" s="255">
        <v>155.55799999999999</v>
      </c>
      <c r="P21" s="255">
        <v>154.99700000000001</v>
      </c>
      <c r="Q21" s="255">
        <v>155.435</v>
      </c>
      <c r="R21" s="255">
        <v>148.70699999999999</v>
      </c>
    </row>
    <row r="22" spans="1:19" ht="12" x14ac:dyDescent="0.2">
      <c r="B22" s="236" t="s">
        <v>54</v>
      </c>
      <c r="C22" s="253" t="s">
        <v>55</v>
      </c>
      <c r="E22" s="254" t="s">
        <v>14</v>
      </c>
      <c r="G22" s="252" t="s">
        <v>56</v>
      </c>
      <c r="H22" s="255">
        <v>0</v>
      </c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  <c r="P22" s="255">
        <v>0</v>
      </c>
      <c r="Q22" s="255">
        <v>0</v>
      </c>
      <c r="R22" s="255">
        <v>0</v>
      </c>
    </row>
    <row r="23" spans="1:19" ht="12" x14ac:dyDescent="0.2">
      <c r="B23" s="236" t="s">
        <v>57</v>
      </c>
      <c r="C23" s="253">
        <v>257</v>
      </c>
      <c r="E23" s="254" t="s">
        <v>14</v>
      </c>
      <c r="G23" s="252" t="s">
        <v>58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  <c r="P23" s="255">
        <v>0</v>
      </c>
      <c r="Q23" s="255">
        <v>0</v>
      </c>
      <c r="R23" s="255">
        <v>0</v>
      </c>
    </row>
    <row r="24" spans="1:19" ht="12" x14ac:dyDescent="0.2">
      <c r="A24" s="268"/>
      <c r="B24" s="236" t="s">
        <v>59</v>
      </c>
      <c r="C24" s="253" t="s">
        <v>60</v>
      </c>
      <c r="E24" s="254" t="s">
        <v>14</v>
      </c>
      <c r="F24" s="268"/>
      <c r="G24" s="252" t="s">
        <v>61</v>
      </c>
      <c r="H24" s="255">
        <v>0</v>
      </c>
      <c r="I24" s="255">
        <v>0</v>
      </c>
      <c r="J24" s="255">
        <v>0</v>
      </c>
      <c r="K24" s="255">
        <v>0</v>
      </c>
      <c r="L24" s="255">
        <v>0</v>
      </c>
      <c r="M24" s="255">
        <v>0</v>
      </c>
      <c r="N24" s="255">
        <v>0</v>
      </c>
      <c r="O24" s="255">
        <v>0</v>
      </c>
      <c r="P24" s="255">
        <v>0</v>
      </c>
      <c r="Q24" s="255">
        <v>0</v>
      </c>
      <c r="R24" s="255">
        <v>0</v>
      </c>
    </row>
    <row r="25" spans="1:19" ht="12" x14ac:dyDescent="0.2">
      <c r="A25" s="268"/>
      <c r="B25" s="236" t="s">
        <v>62</v>
      </c>
      <c r="C25" s="253" t="s">
        <v>63</v>
      </c>
      <c r="E25" s="254" t="s">
        <v>14</v>
      </c>
      <c r="F25" s="268"/>
      <c r="G25" s="252" t="s">
        <v>64</v>
      </c>
      <c r="H25" s="255">
        <v>0</v>
      </c>
      <c r="I25" s="255">
        <v>0</v>
      </c>
      <c r="J25" s="255">
        <v>0</v>
      </c>
      <c r="K25" s="255">
        <v>0</v>
      </c>
      <c r="L25" s="255">
        <v>0</v>
      </c>
      <c r="M25" s="255">
        <v>0</v>
      </c>
      <c r="N25" s="255">
        <v>0</v>
      </c>
      <c r="O25" s="255">
        <v>0</v>
      </c>
      <c r="P25" s="255">
        <v>0</v>
      </c>
      <c r="Q25" s="255">
        <v>0</v>
      </c>
      <c r="R25" s="255">
        <v>0</v>
      </c>
    </row>
    <row r="26" spans="1:19" ht="12" x14ac:dyDescent="0.2">
      <c r="B26" s="236" t="s">
        <v>65</v>
      </c>
      <c r="C26" s="253">
        <v>28</v>
      </c>
      <c r="E26" s="254" t="s">
        <v>14</v>
      </c>
      <c r="G26" s="252" t="s">
        <v>66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55">
        <v>0</v>
      </c>
      <c r="P26" s="255">
        <v>0</v>
      </c>
      <c r="Q26" s="255">
        <v>0</v>
      </c>
      <c r="R26" s="255">
        <v>0</v>
      </c>
    </row>
    <row r="27" spans="1:19" x14ac:dyDescent="0.2">
      <c r="B27" s="236" t="s">
        <v>67</v>
      </c>
      <c r="C27" s="253">
        <v>29</v>
      </c>
      <c r="E27" s="256"/>
      <c r="G27" s="252" t="s">
        <v>68</v>
      </c>
      <c r="H27" s="249">
        <f>SUM(H28:H30)</f>
        <v>0</v>
      </c>
      <c r="I27" s="249">
        <f t="shared" ref="I27:R27" si="5">SUM(I28:I30)</f>
        <v>0</v>
      </c>
      <c r="J27" s="249">
        <f t="shared" si="5"/>
        <v>0</v>
      </c>
      <c r="K27" s="249">
        <f t="shared" si="5"/>
        <v>32.664000000000001</v>
      </c>
      <c r="L27" s="249">
        <f t="shared" si="5"/>
        <v>85.799000000000007</v>
      </c>
      <c r="M27" s="249">
        <f t="shared" si="5"/>
        <v>136.71699999999998</v>
      </c>
      <c r="N27" s="249">
        <f t="shared" si="5"/>
        <v>143.59499999999997</v>
      </c>
      <c r="O27" s="249">
        <f t="shared" si="5"/>
        <v>158.136</v>
      </c>
      <c r="P27" s="249">
        <f t="shared" si="5"/>
        <v>170.23</v>
      </c>
      <c r="Q27" s="249">
        <f t="shared" si="5"/>
        <v>179.761</v>
      </c>
      <c r="R27" s="249">
        <f t="shared" si="5"/>
        <v>186.404</v>
      </c>
    </row>
    <row r="28" spans="1:19" ht="12" x14ac:dyDescent="0.2">
      <c r="B28" s="236" t="s">
        <v>69</v>
      </c>
      <c r="C28" s="250" t="s">
        <v>70</v>
      </c>
      <c r="D28" s="250"/>
      <c r="E28" s="254" t="s">
        <v>14</v>
      </c>
      <c r="G28" s="252" t="s">
        <v>71</v>
      </c>
      <c r="H28" s="255">
        <v>0</v>
      </c>
      <c r="I28" s="255">
        <v>0</v>
      </c>
      <c r="J28" s="255">
        <v>0</v>
      </c>
      <c r="K28" s="255">
        <v>20.75</v>
      </c>
      <c r="L28" s="255">
        <v>66.555000000000007</v>
      </c>
      <c r="M28" s="255">
        <v>66.555000000000007</v>
      </c>
      <c r="N28" s="255">
        <v>66.555000000000007</v>
      </c>
      <c r="O28" s="255">
        <v>66.555000000000007</v>
      </c>
      <c r="P28" s="255">
        <v>66.555000000000007</v>
      </c>
      <c r="Q28" s="255">
        <v>66.555000000000007</v>
      </c>
      <c r="R28" s="255">
        <v>66.555000000000007</v>
      </c>
    </row>
    <row r="29" spans="1:19" ht="12" x14ac:dyDescent="0.2">
      <c r="B29" s="236" t="s">
        <v>72</v>
      </c>
      <c r="C29" s="253">
        <v>298</v>
      </c>
      <c r="E29" s="254" t="s">
        <v>14</v>
      </c>
      <c r="G29" s="252" t="s">
        <v>73</v>
      </c>
      <c r="H29" s="255">
        <v>0</v>
      </c>
      <c r="I29" s="255">
        <v>0</v>
      </c>
      <c r="J29" s="255">
        <v>0</v>
      </c>
      <c r="K29" s="255">
        <v>0</v>
      </c>
      <c r="L29" s="255">
        <v>11.914</v>
      </c>
      <c r="M29" s="255">
        <v>19.242999999999999</v>
      </c>
      <c r="N29" s="255">
        <f>M29+M30</f>
        <v>70.161999999999992</v>
      </c>
      <c r="O29" s="255">
        <f>N29+N30</f>
        <v>77.039999999999992</v>
      </c>
      <c r="P29" s="255">
        <f>O29+O30</f>
        <v>91.580999999999989</v>
      </c>
      <c r="Q29" s="255">
        <f>P29+P30</f>
        <v>103.67499999999998</v>
      </c>
      <c r="R29" s="255">
        <f>Q29+Q30</f>
        <v>113.20599999999999</v>
      </c>
    </row>
    <row r="30" spans="1:19" ht="12" x14ac:dyDescent="0.2">
      <c r="B30" s="236" t="s">
        <v>74</v>
      </c>
      <c r="C30" s="253">
        <v>299</v>
      </c>
      <c r="E30" s="254" t="s">
        <v>439</v>
      </c>
      <c r="G30" s="252" t="s">
        <v>76</v>
      </c>
      <c r="H30" s="255">
        <v>0</v>
      </c>
      <c r="I30" s="255">
        <v>0</v>
      </c>
      <c r="J30" s="255">
        <v>0</v>
      </c>
      <c r="K30" s="255">
        <v>11.914</v>
      </c>
      <c r="L30" s="255">
        <v>7.33</v>
      </c>
      <c r="M30" s="255">
        <v>50.918999999999997</v>
      </c>
      <c r="N30" s="255">
        <v>6.8780000000000001</v>
      </c>
      <c r="O30" s="255">
        <v>14.541</v>
      </c>
      <c r="P30" s="255">
        <v>12.093999999999999</v>
      </c>
      <c r="Q30" s="255">
        <v>9.5310000000000006</v>
      </c>
      <c r="R30" s="255">
        <v>6.6429999999999998</v>
      </c>
    </row>
    <row r="31" spans="1:19" s="274" customFormat="1" x14ac:dyDescent="0.2">
      <c r="A31" s="269"/>
      <c r="B31" s="243"/>
      <c r="C31" s="270"/>
      <c r="D31" s="270"/>
      <c r="E31" s="271"/>
      <c r="F31" s="269"/>
      <c r="G31" s="272" t="s">
        <v>77</v>
      </c>
      <c r="H31" s="273">
        <f t="shared" ref="H31:R31" si="6">H4-H18</f>
        <v>0</v>
      </c>
      <c r="I31" s="273">
        <f t="shared" si="6"/>
        <v>0</v>
      </c>
      <c r="J31" s="273">
        <f t="shared" si="6"/>
        <v>0</v>
      </c>
      <c r="K31" s="273">
        <f t="shared" si="6"/>
        <v>0</v>
      </c>
      <c r="L31" s="273">
        <f t="shared" si="6"/>
        <v>-1.0000000000047748E-3</v>
      </c>
      <c r="M31" s="273">
        <f t="shared" si="6"/>
        <v>0</v>
      </c>
      <c r="N31" s="273">
        <f t="shared" si="6"/>
        <v>0</v>
      </c>
      <c r="O31" s="273">
        <f t="shared" si="6"/>
        <v>0</v>
      </c>
      <c r="P31" s="273">
        <f t="shared" si="6"/>
        <v>0</v>
      </c>
      <c r="Q31" s="273">
        <f t="shared" si="6"/>
        <v>0</v>
      </c>
      <c r="R31" s="273">
        <f t="shared" si="6"/>
        <v>0</v>
      </c>
      <c r="S31" s="238"/>
    </row>
    <row r="32" spans="1:19" x14ac:dyDescent="0.2">
      <c r="G32" s="244" t="s">
        <v>78</v>
      </c>
      <c r="H32" s="275">
        <v>2011</v>
      </c>
      <c r="I32" s="275">
        <f t="shared" ref="I32:R32" si="7">H32+1</f>
        <v>2012</v>
      </c>
      <c r="J32" s="275">
        <f t="shared" si="7"/>
        <v>2013</v>
      </c>
      <c r="K32" s="275">
        <f t="shared" si="7"/>
        <v>2014</v>
      </c>
      <c r="L32" s="275">
        <f t="shared" si="7"/>
        <v>2015</v>
      </c>
      <c r="M32" s="275">
        <f t="shared" si="7"/>
        <v>2016</v>
      </c>
      <c r="N32" s="275">
        <f t="shared" si="7"/>
        <v>2017</v>
      </c>
      <c r="O32" s="275">
        <f t="shared" si="7"/>
        <v>2018</v>
      </c>
      <c r="P32" s="275">
        <f t="shared" si="7"/>
        <v>2019</v>
      </c>
      <c r="Q32" s="275">
        <f t="shared" si="7"/>
        <v>2020</v>
      </c>
      <c r="R32" s="275">
        <f t="shared" si="7"/>
        <v>2021</v>
      </c>
    </row>
    <row r="33" spans="1:18" x14ac:dyDescent="0.2">
      <c r="B33" s="236" t="s">
        <v>79</v>
      </c>
      <c r="C33" s="253">
        <v>3</v>
      </c>
      <c r="G33" s="248" t="s">
        <v>80</v>
      </c>
      <c r="H33" s="249">
        <f>SUM(H34:H37)</f>
        <v>0</v>
      </c>
      <c r="I33" s="249">
        <f t="shared" ref="I33:R33" si="8">SUM(I34:I37)</f>
        <v>0</v>
      </c>
      <c r="J33" s="249">
        <f t="shared" si="8"/>
        <v>0</v>
      </c>
      <c r="K33" s="249">
        <f t="shared" si="8"/>
        <v>13.137</v>
      </c>
      <c r="L33" s="249">
        <f t="shared" si="8"/>
        <v>955.39499999999998</v>
      </c>
      <c r="M33" s="249">
        <f t="shared" si="8"/>
        <v>1024.67</v>
      </c>
      <c r="N33" s="249">
        <f t="shared" si="8"/>
        <v>945.99199999999996</v>
      </c>
      <c r="O33" s="249">
        <f t="shared" si="8"/>
        <v>1000.2916</v>
      </c>
      <c r="P33" s="249">
        <f t="shared" si="8"/>
        <v>1046.80618</v>
      </c>
      <c r="Q33" s="249">
        <f t="shared" si="8"/>
        <v>1095.646489</v>
      </c>
      <c r="R33" s="249">
        <f t="shared" si="8"/>
        <v>1146.92881345</v>
      </c>
    </row>
    <row r="34" spans="1:18" ht="12" x14ac:dyDescent="0.2">
      <c r="B34" s="236" t="s">
        <v>81</v>
      </c>
      <c r="C34" s="253">
        <v>30</v>
      </c>
      <c r="E34" s="254" t="s">
        <v>14</v>
      </c>
      <c r="G34" s="252" t="s">
        <v>82</v>
      </c>
      <c r="H34" s="255">
        <v>0</v>
      </c>
      <c r="I34" s="255">
        <v>0</v>
      </c>
      <c r="J34" s="255">
        <v>0</v>
      </c>
      <c r="K34" s="255">
        <v>0</v>
      </c>
      <c r="L34" s="255">
        <v>0</v>
      </c>
      <c r="M34" s="255">
        <v>0</v>
      </c>
      <c r="N34" s="255">
        <v>0</v>
      </c>
      <c r="O34" s="255">
        <v>0</v>
      </c>
      <c r="P34" s="255">
        <v>0</v>
      </c>
      <c r="Q34" s="255">
        <v>0</v>
      </c>
      <c r="R34" s="255">
        <v>0</v>
      </c>
    </row>
    <row r="35" spans="1:18" ht="12" x14ac:dyDescent="0.2">
      <c r="B35" s="236" t="s">
        <v>83</v>
      </c>
      <c r="C35" s="253">
        <v>32</v>
      </c>
      <c r="E35" s="254" t="s">
        <v>14</v>
      </c>
      <c r="G35" s="252" t="s">
        <v>84</v>
      </c>
      <c r="H35" s="255">
        <v>0</v>
      </c>
      <c r="I35" s="255">
        <v>0</v>
      </c>
      <c r="J35" s="255">
        <v>0</v>
      </c>
      <c r="K35" s="255">
        <v>0</v>
      </c>
      <c r="L35" s="255">
        <v>147.821</v>
      </c>
      <c r="M35" s="255">
        <v>131.583</v>
      </c>
      <c r="N35" s="255">
        <v>60</v>
      </c>
      <c r="O35" s="255">
        <v>70</v>
      </c>
      <c r="P35" s="255">
        <v>70</v>
      </c>
      <c r="Q35" s="255">
        <v>70</v>
      </c>
      <c r="R35" s="255">
        <v>70</v>
      </c>
    </row>
    <row r="36" spans="1:18" ht="12" x14ac:dyDescent="0.2">
      <c r="A36" s="257"/>
      <c r="B36" s="236" t="s">
        <v>85</v>
      </c>
      <c r="C36" s="253">
        <v>35</v>
      </c>
      <c r="E36" s="254" t="s">
        <v>14</v>
      </c>
      <c r="F36" s="257"/>
      <c r="G36" s="252" t="s">
        <v>86</v>
      </c>
      <c r="H36" s="255">
        <v>0</v>
      </c>
      <c r="I36" s="255">
        <v>0</v>
      </c>
      <c r="J36" s="255">
        <v>0</v>
      </c>
      <c r="K36" s="255">
        <v>12.88</v>
      </c>
      <c r="L36" s="255">
        <v>805.57399999999996</v>
      </c>
      <c r="M36" s="255">
        <v>893.08699999999999</v>
      </c>
      <c r="N36" s="255">
        <v>885.99199999999996</v>
      </c>
      <c r="O36" s="255">
        <f>N36*1.05</f>
        <v>930.29160000000002</v>
      </c>
      <c r="P36" s="255">
        <f>O36*1.05</f>
        <v>976.80618000000004</v>
      </c>
      <c r="Q36" s="255">
        <f>P36*1.05</f>
        <v>1025.646489</v>
      </c>
      <c r="R36" s="255">
        <f>Q36*1.05</f>
        <v>1076.92881345</v>
      </c>
    </row>
    <row r="37" spans="1:18" ht="12" x14ac:dyDescent="0.2">
      <c r="B37" s="236" t="s">
        <v>87</v>
      </c>
      <c r="C37" s="253">
        <v>38</v>
      </c>
      <c r="E37" s="254" t="s">
        <v>14</v>
      </c>
      <c r="G37" s="252" t="s">
        <v>88</v>
      </c>
      <c r="H37" s="255">
        <v>0</v>
      </c>
      <c r="I37" s="255">
        <v>0</v>
      </c>
      <c r="J37" s="255">
        <v>0</v>
      </c>
      <c r="K37" s="255">
        <v>0.25700000000000001</v>
      </c>
      <c r="L37" s="255">
        <v>2</v>
      </c>
      <c r="M37" s="255">
        <v>0</v>
      </c>
      <c r="N37" s="255">
        <v>0</v>
      </c>
      <c r="O37" s="255">
        <v>0</v>
      </c>
      <c r="P37" s="255">
        <v>0</v>
      </c>
      <c r="Q37" s="255">
        <v>0</v>
      </c>
      <c r="R37" s="255">
        <v>0</v>
      </c>
    </row>
    <row r="38" spans="1:18" x14ac:dyDescent="0.2">
      <c r="B38" s="236" t="s">
        <v>89</v>
      </c>
      <c r="C38" s="253">
        <v>4</v>
      </c>
      <c r="E38" s="276"/>
      <c r="G38" s="252" t="s">
        <v>90</v>
      </c>
      <c r="H38" s="249">
        <f>H39+H40</f>
        <v>0</v>
      </c>
      <c r="I38" s="249">
        <f t="shared" ref="I38:R38" si="9">I39+I40</f>
        <v>0</v>
      </c>
      <c r="J38" s="249">
        <f t="shared" si="9"/>
        <v>0</v>
      </c>
      <c r="K38" s="249">
        <f t="shared" si="9"/>
        <v>0</v>
      </c>
      <c r="L38" s="249">
        <f t="shared" si="9"/>
        <v>-0.48</v>
      </c>
      <c r="M38" s="249">
        <f t="shared" si="9"/>
        <v>-1.1950000000000001</v>
      </c>
      <c r="N38" s="249">
        <f t="shared" si="9"/>
        <v>-1.1950000000000001</v>
      </c>
      <c r="O38" s="249">
        <f t="shared" si="9"/>
        <v>-1.1950000000000001</v>
      </c>
      <c r="P38" s="249">
        <f t="shared" si="9"/>
        <v>-1.1950000000000001</v>
      </c>
      <c r="Q38" s="249">
        <f t="shared" si="9"/>
        <v>-1.1950000000000001</v>
      </c>
      <c r="R38" s="249">
        <f t="shared" si="9"/>
        <v>-1.1950000000000001</v>
      </c>
    </row>
    <row r="39" spans="1:18" ht="12" x14ac:dyDescent="0.2">
      <c r="B39" s="236" t="s">
        <v>91</v>
      </c>
      <c r="C39" s="253">
        <v>41</v>
      </c>
      <c r="E39" s="254" t="s">
        <v>440</v>
      </c>
      <c r="G39" s="252" t="s">
        <v>93</v>
      </c>
      <c r="H39" s="255">
        <v>0</v>
      </c>
      <c r="I39" s="255">
        <v>0</v>
      </c>
      <c r="J39" s="255">
        <v>0</v>
      </c>
      <c r="K39" s="255">
        <v>0</v>
      </c>
      <c r="L39" s="255">
        <v>0</v>
      </c>
      <c r="M39" s="255">
        <v>0</v>
      </c>
      <c r="N39" s="255">
        <v>0</v>
      </c>
      <c r="O39" s="255">
        <v>0</v>
      </c>
      <c r="P39" s="255">
        <v>0</v>
      </c>
      <c r="Q39" s="255">
        <v>0</v>
      </c>
      <c r="R39" s="255">
        <v>0</v>
      </c>
    </row>
    <row r="40" spans="1:18" ht="12" x14ac:dyDescent="0.2">
      <c r="B40" s="236" t="s">
        <v>94</v>
      </c>
      <c r="C40" s="253">
        <v>45</v>
      </c>
      <c r="E40" s="254" t="s">
        <v>440</v>
      </c>
      <c r="G40" s="252" t="s">
        <v>95</v>
      </c>
      <c r="H40" s="255">
        <v>0</v>
      </c>
      <c r="I40" s="255">
        <v>0</v>
      </c>
      <c r="J40" s="255">
        <v>0</v>
      </c>
      <c r="K40" s="255">
        <v>0</v>
      </c>
      <c r="L40" s="255">
        <v>-0.48</v>
      </c>
      <c r="M40" s="255">
        <v>-1.1950000000000001</v>
      </c>
      <c r="N40" s="255">
        <v>-1.1950000000000001</v>
      </c>
      <c r="O40" s="255">
        <v>-1.1950000000000001</v>
      </c>
      <c r="P40" s="255">
        <v>-1.1950000000000001</v>
      </c>
      <c r="Q40" s="255">
        <v>-1.1950000000000001</v>
      </c>
      <c r="R40" s="255">
        <v>-1.1950000000000001</v>
      </c>
    </row>
    <row r="41" spans="1:18" x14ac:dyDescent="0.2">
      <c r="A41" s="257"/>
      <c r="B41" s="236" t="s">
        <v>96</v>
      </c>
      <c r="C41" s="253" t="s">
        <v>97</v>
      </c>
      <c r="E41" s="276"/>
      <c r="F41" s="257"/>
      <c r="G41" s="252" t="s">
        <v>98</v>
      </c>
      <c r="H41" s="249">
        <f>SUM(H42:H45)</f>
        <v>0</v>
      </c>
      <c r="I41" s="249">
        <f t="shared" ref="I41:R41" si="10">SUM(I42:I45)</f>
        <v>0</v>
      </c>
      <c r="J41" s="249">
        <f t="shared" si="10"/>
        <v>0</v>
      </c>
      <c r="K41" s="249">
        <f t="shared" si="10"/>
        <v>-0.96599999999999997</v>
      </c>
      <c r="L41" s="249">
        <f t="shared" si="10"/>
        <v>-948.19700000000012</v>
      </c>
      <c r="M41" s="249">
        <f t="shared" si="10"/>
        <v>-972.98900000000015</v>
      </c>
      <c r="N41" s="249">
        <f t="shared" si="10"/>
        <v>-937.9190000000001</v>
      </c>
      <c r="O41" s="249">
        <f t="shared" si="10"/>
        <v>-984.5553000000001</v>
      </c>
      <c r="P41" s="249">
        <f t="shared" si="10"/>
        <v>-1033.5169150000002</v>
      </c>
      <c r="Q41" s="249">
        <f t="shared" si="10"/>
        <v>-1084.9207107500001</v>
      </c>
      <c r="R41" s="249">
        <f t="shared" si="10"/>
        <v>-1139.0910962875002</v>
      </c>
    </row>
    <row r="42" spans="1:18" ht="12" x14ac:dyDescent="0.2">
      <c r="B42" s="236" t="s">
        <v>99</v>
      </c>
      <c r="C42" s="253">
        <v>50</v>
      </c>
      <c r="E42" s="254" t="s">
        <v>440</v>
      </c>
      <c r="G42" s="252" t="s">
        <v>100</v>
      </c>
      <c r="H42" s="255">
        <v>0</v>
      </c>
      <c r="I42" s="255">
        <v>0</v>
      </c>
      <c r="J42" s="255">
        <v>0</v>
      </c>
      <c r="K42" s="255">
        <v>-0.377</v>
      </c>
      <c r="L42" s="255">
        <v>-771.32</v>
      </c>
      <c r="M42" s="255">
        <v>-725.51700000000005</v>
      </c>
      <c r="N42" s="255">
        <v>-798.92600000000004</v>
      </c>
      <c r="O42" s="255">
        <f>N42*1.05</f>
        <v>-838.87230000000011</v>
      </c>
      <c r="P42" s="255">
        <f>O42*1.05</f>
        <v>-880.81591500000013</v>
      </c>
      <c r="Q42" s="255">
        <f>P42*1.05</f>
        <v>-924.85671075000016</v>
      </c>
      <c r="R42" s="255">
        <f>Q42*1.05</f>
        <v>-971.09954628750017</v>
      </c>
    </row>
    <row r="43" spans="1:18" ht="12" x14ac:dyDescent="0.2">
      <c r="B43" s="236" t="s">
        <v>101</v>
      </c>
      <c r="C43" s="253">
        <v>55</v>
      </c>
      <c r="E43" s="254" t="s">
        <v>440</v>
      </c>
      <c r="G43" s="252" t="s">
        <v>102</v>
      </c>
      <c r="H43" s="255">
        <v>0</v>
      </c>
      <c r="I43" s="255">
        <v>0</v>
      </c>
      <c r="J43" s="255">
        <v>0</v>
      </c>
      <c r="K43" s="255">
        <v>-0.49099999999999999</v>
      </c>
      <c r="L43" s="255">
        <v>-168.40899999999999</v>
      </c>
      <c r="M43" s="255">
        <f>-246.319+13.234</f>
        <v>-233.08499999999998</v>
      </c>
      <c r="N43" s="255">
        <v>-127.61799999999999</v>
      </c>
      <c r="O43" s="255">
        <v>-133.999</v>
      </c>
      <c r="P43" s="255">
        <v>-140.69900000000001</v>
      </c>
      <c r="Q43" s="255">
        <v>-147.73400000000001</v>
      </c>
      <c r="R43" s="255">
        <f>Q43*1.05</f>
        <v>-155.12070000000003</v>
      </c>
    </row>
    <row r="44" spans="1:18" ht="12" x14ac:dyDescent="0.2">
      <c r="A44" s="257"/>
      <c r="B44" s="236" t="s">
        <v>103</v>
      </c>
      <c r="C44" s="253">
        <v>60</v>
      </c>
      <c r="E44" s="254" t="s">
        <v>440</v>
      </c>
      <c r="F44" s="257"/>
      <c r="G44" s="252" t="s">
        <v>104</v>
      </c>
      <c r="H44" s="255">
        <v>0</v>
      </c>
      <c r="I44" s="255">
        <v>0</v>
      </c>
      <c r="J44" s="255">
        <v>0</v>
      </c>
      <c r="K44" s="255">
        <v>-9.8000000000000004E-2</v>
      </c>
      <c r="L44" s="255">
        <v>-6.95</v>
      </c>
      <c r="M44" s="255">
        <v>-13.234</v>
      </c>
      <c r="N44" s="255">
        <v>-9.859</v>
      </c>
      <c r="O44" s="255">
        <v>-10.169</v>
      </c>
      <c r="P44" s="255">
        <v>-10.488</v>
      </c>
      <c r="Q44" s="255">
        <v>-10.817</v>
      </c>
      <c r="R44" s="255">
        <f>Q44*1.05</f>
        <v>-11.357850000000001</v>
      </c>
    </row>
    <row r="45" spans="1:18" ht="12" x14ac:dyDescent="0.2">
      <c r="B45" s="236" t="s">
        <v>105</v>
      </c>
      <c r="C45" s="253">
        <v>61</v>
      </c>
      <c r="E45" s="254" t="s">
        <v>440</v>
      </c>
      <c r="G45" s="252" t="s">
        <v>106</v>
      </c>
      <c r="H45" s="255">
        <v>0</v>
      </c>
      <c r="I45" s="255">
        <v>0</v>
      </c>
      <c r="J45" s="255">
        <v>0</v>
      </c>
      <c r="K45" s="255">
        <v>0</v>
      </c>
      <c r="L45" s="255">
        <v>-1.518</v>
      </c>
      <c r="M45" s="255">
        <v>-1.153</v>
      </c>
      <c r="N45" s="255">
        <v>-1.516</v>
      </c>
      <c r="O45" s="255">
        <v>-1.5149999999999999</v>
      </c>
      <c r="P45" s="255">
        <v>-1.514</v>
      </c>
      <c r="Q45" s="255">
        <v>-1.5129999999999999</v>
      </c>
      <c r="R45" s="255">
        <f>Q45</f>
        <v>-1.5129999999999999</v>
      </c>
    </row>
    <row r="46" spans="1:18" x14ac:dyDescent="0.2">
      <c r="B46" s="236" t="s">
        <v>107</v>
      </c>
      <c r="G46" s="252" t="s">
        <v>108</v>
      </c>
      <c r="H46" s="249">
        <f>H33+H38+H41</f>
        <v>0</v>
      </c>
      <c r="I46" s="249">
        <f t="shared" ref="I46:R46" si="11">I33+I38+I41</f>
        <v>0</v>
      </c>
      <c r="J46" s="249">
        <f t="shared" si="11"/>
        <v>0</v>
      </c>
      <c r="K46" s="249">
        <f t="shared" si="11"/>
        <v>12.171000000000001</v>
      </c>
      <c r="L46" s="249">
        <f t="shared" si="11"/>
        <v>6.7179999999998472</v>
      </c>
      <c r="M46" s="249">
        <f t="shared" si="11"/>
        <v>50.485999999999876</v>
      </c>
      <c r="N46" s="249">
        <f t="shared" si="11"/>
        <v>6.8779999999998154</v>
      </c>
      <c r="O46" s="249">
        <f t="shared" si="11"/>
        <v>14.541299999999865</v>
      </c>
      <c r="P46" s="249">
        <f t="shared" si="11"/>
        <v>12.09426499999995</v>
      </c>
      <c r="Q46" s="249">
        <f t="shared" si="11"/>
        <v>9.5307782499999121</v>
      </c>
      <c r="R46" s="249">
        <f t="shared" si="11"/>
        <v>6.6427171624998209</v>
      </c>
    </row>
    <row r="47" spans="1:18" ht="12" x14ac:dyDescent="0.2">
      <c r="B47" s="236" t="s">
        <v>109</v>
      </c>
      <c r="C47" s="253">
        <v>65</v>
      </c>
      <c r="E47" s="254" t="s">
        <v>439</v>
      </c>
      <c r="G47" s="252" t="s">
        <v>110</v>
      </c>
      <c r="H47" s="255">
        <v>0</v>
      </c>
      <c r="I47" s="255">
        <v>0</v>
      </c>
      <c r="J47" s="255">
        <v>0</v>
      </c>
      <c r="K47" s="255">
        <v>0</v>
      </c>
      <c r="L47" s="255">
        <v>0.156</v>
      </c>
      <c r="M47" s="255">
        <v>0</v>
      </c>
      <c r="N47" s="255">
        <v>0</v>
      </c>
      <c r="O47" s="255">
        <v>0</v>
      </c>
      <c r="P47" s="255">
        <v>0</v>
      </c>
      <c r="Q47" s="255">
        <v>0</v>
      </c>
      <c r="R47" s="255">
        <v>0</v>
      </c>
    </row>
    <row r="48" spans="1:18" x14ac:dyDescent="0.2">
      <c r="B48" s="236" t="s">
        <v>111</v>
      </c>
      <c r="G48" s="252" t="s">
        <v>112</v>
      </c>
      <c r="H48" s="249">
        <f>H46+H47</f>
        <v>0</v>
      </c>
      <c r="I48" s="249">
        <f t="shared" ref="I48:R48" si="12">I46+I47</f>
        <v>0</v>
      </c>
      <c r="J48" s="249">
        <f t="shared" si="12"/>
        <v>0</v>
      </c>
      <c r="K48" s="249">
        <f t="shared" si="12"/>
        <v>12.171000000000001</v>
      </c>
      <c r="L48" s="249">
        <f t="shared" si="12"/>
        <v>6.8739999999998469</v>
      </c>
      <c r="M48" s="249">
        <f>M46+M47</f>
        <v>50.485999999999876</v>
      </c>
      <c r="N48" s="249">
        <f t="shared" si="12"/>
        <v>6.8779999999998154</v>
      </c>
      <c r="O48" s="249">
        <f t="shared" si="12"/>
        <v>14.541299999999865</v>
      </c>
      <c r="P48" s="249">
        <f t="shared" si="12"/>
        <v>12.09426499999995</v>
      </c>
      <c r="Q48" s="249">
        <f t="shared" si="12"/>
        <v>9.5307782499999121</v>
      </c>
      <c r="R48" s="249">
        <f t="shared" si="12"/>
        <v>6.6427171624998209</v>
      </c>
    </row>
    <row r="49" spans="1:18" ht="12" x14ac:dyDescent="0.2">
      <c r="B49" s="236" t="s">
        <v>113</v>
      </c>
      <c r="C49" s="253">
        <v>68</v>
      </c>
      <c r="E49" s="254" t="s">
        <v>440</v>
      </c>
      <c r="G49" s="252" t="s">
        <v>114</v>
      </c>
      <c r="H49" s="255">
        <v>0</v>
      </c>
      <c r="I49" s="255">
        <v>0</v>
      </c>
      <c r="J49" s="255">
        <v>0</v>
      </c>
      <c r="K49" s="255">
        <v>0</v>
      </c>
      <c r="L49" s="255">
        <v>0</v>
      </c>
      <c r="M49" s="255">
        <v>0</v>
      </c>
      <c r="N49" s="255">
        <v>0</v>
      </c>
      <c r="O49" s="255">
        <v>0</v>
      </c>
      <c r="P49" s="255">
        <v>0</v>
      </c>
      <c r="Q49" s="255">
        <v>0</v>
      </c>
      <c r="R49" s="255">
        <v>0</v>
      </c>
    </row>
    <row r="50" spans="1:18" ht="12" x14ac:dyDescent="0.2">
      <c r="B50" s="236" t="s">
        <v>115</v>
      </c>
      <c r="C50" s="253">
        <v>69</v>
      </c>
      <c r="E50" s="254" t="s">
        <v>14</v>
      </c>
      <c r="G50" s="252" t="s">
        <v>116</v>
      </c>
      <c r="H50" s="255">
        <v>0</v>
      </c>
      <c r="I50" s="255">
        <v>0</v>
      </c>
      <c r="J50" s="255">
        <v>0</v>
      </c>
      <c r="K50" s="255">
        <v>0</v>
      </c>
      <c r="L50" s="255">
        <v>0</v>
      </c>
      <c r="M50" s="255">
        <v>0</v>
      </c>
      <c r="N50" s="255">
        <v>0</v>
      </c>
      <c r="O50" s="255">
        <v>0</v>
      </c>
      <c r="P50" s="255">
        <v>0</v>
      </c>
      <c r="Q50" s="255">
        <v>0</v>
      </c>
      <c r="R50" s="255">
        <v>0</v>
      </c>
    </row>
    <row r="51" spans="1:18" x14ac:dyDescent="0.2">
      <c r="B51" s="236" t="s">
        <v>117</v>
      </c>
      <c r="G51" s="252" t="s">
        <v>118</v>
      </c>
      <c r="H51" s="249">
        <f>H48+H49+H50</f>
        <v>0</v>
      </c>
      <c r="I51" s="249">
        <f t="shared" ref="I51:R51" si="13">I48+I49+I50</f>
        <v>0</v>
      </c>
      <c r="J51" s="249">
        <f t="shared" si="13"/>
        <v>0</v>
      </c>
      <c r="K51" s="249">
        <f t="shared" si="13"/>
        <v>12.171000000000001</v>
      </c>
      <c r="L51" s="249">
        <f t="shared" si="13"/>
        <v>6.8739999999998469</v>
      </c>
      <c r="M51" s="249">
        <f t="shared" si="13"/>
        <v>50.485999999999876</v>
      </c>
      <c r="N51" s="249">
        <f t="shared" si="13"/>
        <v>6.8779999999998154</v>
      </c>
      <c r="O51" s="249">
        <f t="shared" si="13"/>
        <v>14.541299999999865</v>
      </c>
      <c r="P51" s="249">
        <f t="shared" si="13"/>
        <v>12.09426499999995</v>
      </c>
      <c r="Q51" s="249">
        <f t="shared" si="13"/>
        <v>9.5307782499999121</v>
      </c>
      <c r="R51" s="249">
        <f t="shared" si="13"/>
        <v>6.6427171624998209</v>
      </c>
    </row>
    <row r="52" spans="1:18" x14ac:dyDescent="0.2">
      <c r="A52" s="277"/>
      <c r="C52" s="278"/>
      <c r="D52" s="278"/>
      <c r="E52" s="279"/>
      <c r="F52" s="277"/>
      <c r="G52" s="272" t="s">
        <v>119</v>
      </c>
      <c r="H52" s="273">
        <f>H30-H51</f>
        <v>0</v>
      </c>
      <c r="I52" s="273">
        <f t="shared" ref="I52:R52" si="14">I30-I51</f>
        <v>0</v>
      </c>
      <c r="J52" s="273">
        <f t="shared" si="14"/>
        <v>0</v>
      </c>
      <c r="K52" s="273">
        <f t="shared" si="14"/>
        <v>-0.25700000000000145</v>
      </c>
      <c r="L52" s="273">
        <f t="shared" si="14"/>
        <v>0.45600000000015317</v>
      </c>
      <c r="M52" s="273">
        <f t="shared" si="14"/>
        <v>0.43300000000012062</v>
      </c>
      <c r="N52" s="280">
        <f t="shared" si="14"/>
        <v>1.8474111129762605E-13</v>
      </c>
      <c r="O52" s="280">
        <f t="shared" si="14"/>
        <v>-2.9999999986429771E-4</v>
      </c>
      <c r="P52" s="280">
        <f t="shared" si="14"/>
        <v>-2.6499999995088785E-4</v>
      </c>
      <c r="Q52" s="280">
        <f t="shared" si="14"/>
        <v>2.2175000008850532E-4</v>
      </c>
      <c r="R52" s="280">
        <f t="shared" si="14"/>
        <v>2.8283750017887854E-4</v>
      </c>
    </row>
    <row r="53" spans="1:18" x14ac:dyDescent="0.2">
      <c r="G53" s="281" t="s">
        <v>120</v>
      </c>
    </row>
    <row r="54" spans="1:18" ht="12" x14ac:dyDescent="0.2">
      <c r="C54" s="253">
        <v>90</v>
      </c>
      <c r="E54" s="254" t="s">
        <v>14</v>
      </c>
      <c r="G54" s="281" t="s">
        <v>121</v>
      </c>
      <c r="H54" s="255">
        <v>0</v>
      </c>
      <c r="I54" s="255">
        <v>0</v>
      </c>
      <c r="J54" s="255">
        <v>0</v>
      </c>
      <c r="K54" s="255">
        <v>0</v>
      </c>
      <c r="L54" s="255">
        <v>37</v>
      </c>
      <c r="M54" s="255">
        <v>33</v>
      </c>
      <c r="N54" s="255">
        <v>33</v>
      </c>
      <c r="O54" s="255">
        <v>33</v>
      </c>
      <c r="P54" s="255">
        <v>33</v>
      </c>
      <c r="Q54" s="255">
        <v>33</v>
      </c>
      <c r="R54" s="255">
        <v>33</v>
      </c>
    </row>
    <row r="55" spans="1:18" ht="12" x14ac:dyDescent="0.2">
      <c r="E55" s="254" t="s">
        <v>14</v>
      </c>
      <c r="G55" s="281" t="s">
        <v>122</v>
      </c>
      <c r="H55" s="255"/>
      <c r="I55" s="255"/>
      <c r="J55" s="255"/>
      <c r="K55" s="255"/>
      <c r="L55" s="282"/>
      <c r="M55" s="282"/>
      <c r="N55" s="282"/>
      <c r="O55" s="282"/>
      <c r="P55" s="282"/>
      <c r="Q55" s="282"/>
      <c r="R55" s="282"/>
    </row>
    <row r="57" spans="1:18" x14ac:dyDescent="0.2">
      <c r="D57" s="283" t="s">
        <v>123</v>
      </c>
      <c r="E57" s="284" t="s">
        <v>3</v>
      </c>
      <c r="F57" s="251"/>
      <c r="G57" s="244" t="s">
        <v>124</v>
      </c>
      <c r="H57" s="275">
        <f>H32</f>
        <v>2011</v>
      </c>
      <c r="I57" s="275">
        <f t="shared" ref="I57:R57" si="15">I32</f>
        <v>2012</v>
      </c>
      <c r="J57" s="275">
        <f t="shared" si="15"/>
        <v>2013</v>
      </c>
      <c r="K57" s="275">
        <f t="shared" si="15"/>
        <v>2014</v>
      </c>
      <c r="L57" s="275">
        <f t="shared" si="15"/>
        <v>2015</v>
      </c>
      <c r="M57" s="275">
        <f t="shared" si="15"/>
        <v>2016</v>
      </c>
      <c r="N57" s="275">
        <f t="shared" si="15"/>
        <v>2017</v>
      </c>
      <c r="O57" s="275">
        <f t="shared" si="15"/>
        <v>2018</v>
      </c>
      <c r="P57" s="275">
        <f t="shared" si="15"/>
        <v>2019</v>
      </c>
      <c r="Q57" s="275">
        <f t="shared" si="15"/>
        <v>2020</v>
      </c>
      <c r="R57" s="275">
        <f t="shared" si="15"/>
        <v>2021</v>
      </c>
    </row>
    <row r="58" spans="1:18" ht="11.25" customHeight="1" x14ac:dyDescent="0.2">
      <c r="B58" s="285" t="s">
        <v>125</v>
      </c>
      <c r="C58" s="250" t="s">
        <v>126</v>
      </c>
      <c r="D58" s="286" t="s">
        <v>127</v>
      </c>
      <c r="E58" s="254" t="s">
        <v>440</v>
      </c>
      <c r="F58" s="256"/>
      <c r="G58" s="248" t="s">
        <v>128</v>
      </c>
      <c r="H58" s="255">
        <v>0</v>
      </c>
      <c r="I58" s="255">
        <v>0</v>
      </c>
      <c r="J58" s="255">
        <v>0</v>
      </c>
      <c r="K58" s="255">
        <v>0</v>
      </c>
      <c r="L58" s="255">
        <v>0</v>
      </c>
      <c r="M58" s="255">
        <v>0</v>
      </c>
      <c r="N58" s="255">
        <v>0</v>
      </c>
      <c r="O58" s="255">
        <v>0</v>
      </c>
      <c r="P58" s="255">
        <v>0</v>
      </c>
      <c r="Q58" s="255">
        <v>0</v>
      </c>
      <c r="R58" s="255">
        <v>0</v>
      </c>
    </row>
    <row r="59" spans="1:18" ht="12" x14ac:dyDescent="0.2">
      <c r="B59" s="285" t="s">
        <v>129</v>
      </c>
      <c r="C59" s="287" t="s">
        <v>130</v>
      </c>
      <c r="D59" s="286" t="s">
        <v>131</v>
      </c>
      <c r="E59" s="254" t="s">
        <v>14</v>
      </c>
      <c r="F59" s="256"/>
      <c r="G59" s="288" t="s">
        <v>132</v>
      </c>
      <c r="H59" s="255">
        <v>0</v>
      </c>
      <c r="I59" s="255">
        <v>0</v>
      </c>
      <c r="J59" s="255">
        <v>0.377</v>
      </c>
      <c r="K59" s="255">
        <v>0</v>
      </c>
      <c r="L59" s="255">
        <v>1.264</v>
      </c>
      <c r="M59" s="255">
        <v>0.377</v>
      </c>
      <c r="N59" s="255">
        <v>0.377</v>
      </c>
      <c r="O59" s="255">
        <v>0.377</v>
      </c>
      <c r="P59" s="255">
        <v>0.377</v>
      </c>
      <c r="Q59" s="255">
        <v>0.377</v>
      </c>
      <c r="R59" s="255">
        <v>0.377</v>
      </c>
    </row>
    <row r="60" spans="1:18" ht="12" x14ac:dyDescent="0.2">
      <c r="B60" s="285" t="s">
        <v>133</v>
      </c>
      <c r="C60" s="289" t="s">
        <v>134</v>
      </c>
      <c r="D60" s="286" t="s">
        <v>135</v>
      </c>
      <c r="E60" s="254" t="s">
        <v>14</v>
      </c>
      <c r="F60" s="256"/>
      <c r="G60" s="252" t="s">
        <v>136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5">
        <v>0</v>
      </c>
      <c r="N60" s="255">
        <v>0</v>
      </c>
      <c r="O60" s="255">
        <v>0</v>
      </c>
      <c r="P60" s="255">
        <v>0</v>
      </c>
      <c r="Q60" s="255">
        <v>0</v>
      </c>
      <c r="R60" s="255">
        <v>0</v>
      </c>
    </row>
    <row r="61" spans="1:18" ht="12" x14ac:dyDescent="0.2">
      <c r="B61" s="285" t="s">
        <v>137</v>
      </c>
      <c r="C61" s="289" t="s">
        <v>138</v>
      </c>
      <c r="D61" s="289" t="s">
        <v>139</v>
      </c>
      <c r="E61" s="254" t="s">
        <v>440</v>
      </c>
      <c r="F61" s="256"/>
      <c r="G61" s="252" t="s">
        <v>140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5">
        <v>0</v>
      </c>
      <c r="N61" s="255">
        <v>0</v>
      </c>
      <c r="O61" s="255">
        <v>0</v>
      </c>
      <c r="P61" s="255">
        <v>0</v>
      </c>
      <c r="Q61" s="255">
        <v>0</v>
      </c>
      <c r="R61" s="255">
        <v>0</v>
      </c>
    </row>
    <row r="62" spans="1:18" ht="12" x14ac:dyDescent="0.2">
      <c r="B62" s="285" t="s">
        <v>141</v>
      </c>
      <c r="C62" s="253">
        <v>253800</v>
      </c>
      <c r="D62" s="289" t="s">
        <v>135</v>
      </c>
      <c r="E62" s="254" t="s">
        <v>14</v>
      </c>
      <c r="F62" s="256"/>
      <c r="G62" s="252" t="s">
        <v>142</v>
      </c>
      <c r="H62" s="255">
        <v>0</v>
      </c>
      <c r="I62" s="255">
        <v>0</v>
      </c>
      <c r="J62" s="255">
        <v>0</v>
      </c>
      <c r="K62" s="255">
        <v>0</v>
      </c>
      <c r="L62" s="255">
        <v>0</v>
      </c>
      <c r="M62" s="255">
        <v>0</v>
      </c>
      <c r="N62" s="255">
        <v>0</v>
      </c>
      <c r="O62" s="255">
        <v>0</v>
      </c>
      <c r="P62" s="255">
        <v>0</v>
      </c>
      <c r="Q62" s="255">
        <v>0</v>
      </c>
      <c r="R62" s="255">
        <v>0</v>
      </c>
    </row>
    <row r="63" spans="1:18" ht="12" x14ac:dyDescent="0.2">
      <c r="B63" s="285" t="s">
        <v>143</v>
      </c>
      <c r="C63" s="253">
        <v>150</v>
      </c>
      <c r="D63" s="289" t="s">
        <v>139</v>
      </c>
      <c r="E63" s="254" t="s">
        <v>440</v>
      </c>
      <c r="F63" s="256"/>
      <c r="G63" s="252" t="s">
        <v>144</v>
      </c>
      <c r="H63" s="255">
        <v>0</v>
      </c>
      <c r="I63" s="255">
        <v>0</v>
      </c>
      <c r="J63" s="255">
        <v>0</v>
      </c>
      <c r="K63" s="255">
        <v>0</v>
      </c>
      <c r="L63" s="255">
        <v>0</v>
      </c>
      <c r="M63" s="255">
        <v>0</v>
      </c>
      <c r="N63" s="255">
        <v>0</v>
      </c>
      <c r="O63" s="255">
        <v>0</v>
      </c>
      <c r="P63" s="255">
        <v>0</v>
      </c>
      <c r="Q63" s="255">
        <v>0</v>
      </c>
      <c r="R63" s="255">
        <v>0</v>
      </c>
    </row>
    <row r="64" spans="1:18" ht="12" x14ac:dyDescent="0.2">
      <c r="B64" s="285" t="s">
        <v>145</v>
      </c>
      <c r="C64" s="289" t="s">
        <v>146</v>
      </c>
      <c r="D64" s="289" t="s">
        <v>135</v>
      </c>
      <c r="E64" s="254" t="s">
        <v>14</v>
      </c>
      <c r="F64" s="256"/>
      <c r="G64" s="252" t="s">
        <v>147</v>
      </c>
      <c r="H64" s="255">
        <v>0</v>
      </c>
      <c r="I64" s="255">
        <v>0</v>
      </c>
      <c r="J64" s="255">
        <v>0</v>
      </c>
      <c r="K64" s="255">
        <v>0</v>
      </c>
      <c r="L64" s="255">
        <v>0</v>
      </c>
      <c r="M64" s="255">
        <v>0</v>
      </c>
      <c r="N64" s="255">
        <v>0</v>
      </c>
      <c r="O64" s="255">
        <v>0</v>
      </c>
      <c r="P64" s="255">
        <v>0</v>
      </c>
      <c r="Q64" s="255">
        <v>0</v>
      </c>
      <c r="R64" s="255">
        <v>0</v>
      </c>
    </row>
    <row r="65" spans="2:18" ht="12" x14ac:dyDescent="0.2">
      <c r="B65" s="285" t="s">
        <v>148</v>
      </c>
      <c r="C65" s="250" t="s">
        <v>149</v>
      </c>
      <c r="D65" s="289" t="s">
        <v>139</v>
      </c>
      <c r="E65" s="254" t="s">
        <v>440</v>
      </c>
      <c r="F65" s="256"/>
      <c r="G65" s="252" t="s">
        <v>150</v>
      </c>
      <c r="H65" s="255">
        <v>0</v>
      </c>
      <c r="I65" s="255">
        <v>0</v>
      </c>
      <c r="J65" s="255">
        <v>0</v>
      </c>
      <c r="K65" s="255">
        <v>0</v>
      </c>
      <c r="L65" s="255">
        <v>0</v>
      </c>
      <c r="M65" s="255">
        <v>0</v>
      </c>
      <c r="N65" s="255">
        <v>0</v>
      </c>
      <c r="O65" s="255">
        <v>0</v>
      </c>
      <c r="P65" s="255">
        <v>0</v>
      </c>
      <c r="Q65" s="255">
        <v>0</v>
      </c>
      <c r="R65" s="255">
        <v>0</v>
      </c>
    </row>
    <row r="66" spans="2:18" ht="12" x14ac:dyDescent="0.2">
      <c r="B66" s="285" t="s">
        <v>151</v>
      </c>
      <c r="C66" s="250" t="s">
        <v>149</v>
      </c>
      <c r="D66" s="289" t="s">
        <v>135</v>
      </c>
      <c r="E66" s="254" t="s">
        <v>14</v>
      </c>
      <c r="F66" s="256"/>
      <c r="G66" s="252" t="s">
        <v>152</v>
      </c>
      <c r="H66" s="255">
        <v>0</v>
      </c>
      <c r="I66" s="255">
        <v>0</v>
      </c>
      <c r="J66" s="255">
        <v>0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55">
        <v>0</v>
      </c>
      <c r="R66" s="255">
        <v>0</v>
      </c>
    </row>
    <row r="67" spans="2:18" ht="12" x14ac:dyDescent="0.2">
      <c r="B67" s="285" t="s">
        <v>153</v>
      </c>
      <c r="C67" s="250" t="s">
        <v>154</v>
      </c>
      <c r="D67" s="289" t="s">
        <v>139</v>
      </c>
      <c r="E67" s="254" t="s">
        <v>440</v>
      </c>
      <c r="F67" s="256"/>
      <c r="G67" s="252" t="s">
        <v>155</v>
      </c>
      <c r="H67" s="255">
        <v>0</v>
      </c>
      <c r="I67" s="255">
        <v>0</v>
      </c>
      <c r="J67" s="255">
        <v>0</v>
      </c>
      <c r="K67" s="255">
        <v>0</v>
      </c>
      <c r="L67" s="255">
        <v>0</v>
      </c>
      <c r="M67" s="255">
        <v>0</v>
      </c>
      <c r="N67" s="255">
        <v>0</v>
      </c>
      <c r="O67" s="255">
        <v>0</v>
      </c>
      <c r="P67" s="255">
        <v>0</v>
      </c>
      <c r="Q67" s="255">
        <v>0</v>
      </c>
      <c r="R67" s="255">
        <v>0</v>
      </c>
    </row>
    <row r="68" spans="2:18" ht="12" x14ac:dyDescent="0.2">
      <c r="B68" s="285" t="s">
        <v>156</v>
      </c>
      <c r="C68" s="250" t="s">
        <v>154</v>
      </c>
      <c r="D68" s="289" t="s">
        <v>135</v>
      </c>
      <c r="E68" s="254" t="s">
        <v>14</v>
      </c>
      <c r="F68" s="256"/>
      <c r="G68" s="252" t="s">
        <v>157</v>
      </c>
      <c r="H68" s="255">
        <v>0</v>
      </c>
      <c r="I68" s="255">
        <v>0</v>
      </c>
      <c r="J68" s="255">
        <v>0</v>
      </c>
      <c r="K68" s="255">
        <v>0</v>
      </c>
      <c r="L68" s="255">
        <v>0</v>
      </c>
      <c r="M68" s="255">
        <v>0</v>
      </c>
      <c r="N68" s="255">
        <v>0</v>
      </c>
      <c r="O68" s="255">
        <v>0</v>
      </c>
      <c r="P68" s="255">
        <v>0</v>
      </c>
      <c r="Q68" s="255">
        <v>0</v>
      </c>
      <c r="R68" s="255">
        <v>0</v>
      </c>
    </row>
    <row r="69" spans="2:18" ht="12" x14ac:dyDescent="0.2">
      <c r="B69" s="285" t="s">
        <v>158</v>
      </c>
      <c r="C69" s="289" t="s">
        <v>146</v>
      </c>
      <c r="D69" s="289" t="s">
        <v>135</v>
      </c>
      <c r="E69" s="254" t="s">
        <v>14</v>
      </c>
      <c r="F69" s="256"/>
      <c r="G69" s="252" t="s">
        <v>159</v>
      </c>
      <c r="H69" s="255">
        <v>0</v>
      </c>
      <c r="I69" s="255">
        <v>0</v>
      </c>
      <c r="J69" s="255">
        <v>0</v>
      </c>
      <c r="K69" s="255">
        <v>0</v>
      </c>
      <c r="L69" s="255">
        <v>0</v>
      </c>
      <c r="M69" s="255">
        <v>0</v>
      </c>
      <c r="N69" s="255">
        <v>0</v>
      </c>
      <c r="O69" s="255">
        <v>0</v>
      </c>
      <c r="P69" s="255">
        <v>0</v>
      </c>
      <c r="Q69" s="255">
        <v>0</v>
      </c>
      <c r="R69" s="255">
        <v>0</v>
      </c>
    </row>
    <row r="70" spans="2:18" ht="12" x14ac:dyDescent="0.2">
      <c r="B70" s="285" t="s">
        <v>160</v>
      </c>
      <c r="C70" s="290" t="s">
        <v>161</v>
      </c>
      <c r="D70" s="250"/>
      <c r="E70" s="254" t="s">
        <v>439</v>
      </c>
      <c r="F70" s="256"/>
      <c r="G70" s="252" t="s">
        <v>110</v>
      </c>
      <c r="H70" s="255">
        <v>0</v>
      </c>
      <c r="I70" s="255">
        <v>0</v>
      </c>
      <c r="J70" s="255">
        <v>0</v>
      </c>
      <c r="K70" s="255">
        <v>0</v>
      </c>
      <c r="L70" s="255">
        <v>0.33400000000000002</v>
      </c>
      <c r="M70" s="255">
        <v>0</v>
      </c>
      <c r="N70" s="255">
        <v>0</v>
      </c>
      <c r="O70" s="255">
        <v>0</v>
      </c>
      <c r="P70" s="255">
        <v>0</v>
      </c>
      <c r="Q70" s="255">
        <v>0</v>
      </c>
      <c r="R70" s="255">
        <v>0</v>
      </c>
    </row>
    <row r="71" spans="2:18" x14ac:dyDescent="0.2">
      <c r="B71" s="285" t="s">
        <v>162</v>
      </c>
      <c r="D71" s="250"/>
      <c r="E71" s="256"/>
      <c r="F71" s="256"/>
      <c r="G71" s="291" t="s">
        <v>163</v>
      </c>
      <c r="H71" s="249">
        <f t="shared" ref="H71:R71" si="16">SUM(H58:H70)</f>
        <v>0</v>
      </c>
      <c r="I71" s="249">
        <f t="shared" si="16"/>
        <v>0</v>
      </c>
      <c r="J71" s="249">
        <f t="shared" si="16"/>
        <v>0.377</v>
      </c>
      <c r="K71" s="249">
        <f t="shared" si="16"/>
        <v>0</v>
      </c>
      <c r="L71" s="249">
        <f t="shared" si="16"/>
        <v>1.5980000000000001</v>
      </c>
      <c r="M71" s="249">
        <f t="shared" si="16"/>
        <v>0.377</v>
      </c>
      <c r="N71" s="249">
        <f t="shared" si="16"/>
        <v>0.377</v>
      </c>
      <c r="O71" s="249">
        <f t="shared" si="16"/>
        <v>0.377</v>
      </c>
      <c r="P71" s="249">
        <f t="shared" si="16"/>
        <v>0.377</v>
      </c>
      <c r="Q71" s="249">
        <f t="shared" si="16"/>
        <v>0.377</v>
      </c>
      <c r="R71" s="249">
        <f t="shared" si="16"/>
        <v>0.377</v>
      </c>
    </row>
    <row r="72" spans="2:18" x14ac:dyDescent="0.2">
      <c r="D72" s="250"/>
    </row>
    <row r="73" spans="2:18" x14ac:dyDescent="0.2">
      <c r="D73" s="283" t="s">
        <v>123</v>
      </c>
      <c r="E73" s="284" t="s">
        <v>3</v>
      </c>
      <c r="F73" s="251"/>
      <c r="G73" s="244" t="s">
        <v>164</v>
      </c>
      <c r="H73" s="275">
        <f t="shared" ref="H73:R73" si="17">H57</f>
        <v>2011</v>
      </c>
      <c r="I73" s="275">
        <f t="shared" si="17"/>
        <v>2012</v>
      </c>
      <c r="J73" s="275">
        <f t="shared" si="17"/>
        <v>2013</v>
      </c>
      <c r="K73" s="275">
        <f t="shared" si="17"/>
        <v>2014</v>
      </c>
      <c r="L73" s="275">
        <f t="shared" si="17"/>
        <v>2015</v>
      </c>
      <c r="M73" s="275">
        <f t="shared" si="17"/>
        <v>2016</v>
      </c>
      <c r="N73" s="275">
        <f t="shared" si="17"/>
        <v>2017</v>
      </c>
      <c r="O73" s="275">
        <f t="shared" si="17"/>
        <v>2018</v>
      </c>
      <c r="P73" s="275">
        <f t="shared" si="17"/>
        <v>2019</v>
      </c>
      <c r="Q73" s="275">
        <f t="shared" si="17"/>
        <v>2020</v>
      </c>
      <c r="R73" s="275">
        <f t="shared" si="17"/>
        <v>2021</v>
      </c>
    </row>
    <row r="74" spans="2:18" ht="12" x14ac:dyDescent="0.2">
      <c r="B74" s="236" t="s">
        <v>165</v>
      </c>
      <c r="C74" s="289" t="s">
        <v>166</v>
      </c>
      <c r="D74" s="289" t="s">
        <v>131</v>
      </c>
      <c r="E74" s="254" t="s">
        <v>14</v>
      </c>
      <c r="G74" s="248" t="s">
        <v>167</v>
      </c>
      <c r="H74" s="255">
        <v>0</v>
      </c>
      <c r="I74" s="255">
        <v>0</v>
      </c>
      <c r="J74" s="255">
        <v>0</v>
      </c>
      <c r="K74" s="255">
        <v>0</v>
      </c>
      <c r="L74" s="255">
        <v>0</v>
      </c>
      <c r="M74" s="255">
        <v>0</v>
      </c>
      <c r="N74" s="255">
        <v>0</v>
      </c>
      <c r="O74" s="255">
        <v>0</v>
      </c>
      <c r="P74" s="255">
        <v>0</v>
      </c>
      <c r="Q74" s="255">
        <v>0</v>
      </c>
      <c r="R74" s="255">
        <v>0</v>
      </c>
    </row>
    <row r="75" spans="2:18" ht="12" x14ac:dyDescent="0.2">
      <c r="B75" s="236" t="s">
        <v>168</v>
      </c>
      <c r="C75" s="289" t="s">
        <v>166</v>
      </c>
      <c r="D75" s="289" t="s">
        <v>127</v>
      </c>
      <c r="E75" s="254" t="s">
        <v>440</v>
      </c>
      <c r="F75" s="256"/>
      <c r="G75" s="252" t="s">
        <v>169</v>
      </c>
      <c r="H75" s="255">
        <v>0</v>
      </c>
      <c r="I75" s="255">
        <v>0</v>
      </c>
      <c r="J75" s="255">
        <v>0</v>
      </c>
      <c r="K75" s="255">
        <v>0</v>
      </c>
      <c r="L75" s="255">
        <v>0</v>
      </c>
      <c r="M75" s="255">
        <v>0</v>
      </c>
      <c r="N75" s="255">
        <v>0</v>
      </c>
      <c r="O75" s="255">
        <v>0</v>
      </c>
      <c r="P75" s="255">
        <v>0</v>
      </c>
      <c r="Q75" s="255">
        <v>0</v>
      </c>
      <c r="R75" s="255">
        <v>0</v>
      </c>
    </row>
    <row r="76" spans="2:18" ht="12" x14ac:dyDescent="0.2">
      <c r="B76" s="236" t="s">
        <v>170</v>
      </c>
      <c r="C76" s="289" t="s">
        <v>171</v>
      </c>
      <c r="D76" s="289" t="s">
        <v>135</v>
      </c>
      <c r="E76" s="254" t="s">
        <v>14</v>
      </c>
      <c r="G76" s="252" t="s">
        <v>172</v>
      </c>
      <c r="H76" s="255">
        <v>0</v>
      </c>
      <c r="I76" s="255">
        <v>0</v>
      </c>
      <c r="J76" s="255">
        <v>0</v>
      </c>
      <c r="K76" s="255">
        <v>0</v>
      </c>
      <c r="L76" s="255">
        <v>0</v>
      </c>
      <c r="M76" s="255">
        <v>0</v>
      </c>
      <c r="N76" s="255">
        <v>0</v>
      </c>
      <c r="O76" s="255">
        <v>0</v>
      </c>
      <c r="P76" s="255">
        <v>0</v>
      </c>
      <c r="Q76" s="255">
        <v>0</v>
      </c>
      <c r="R76" s="255">
        <v>0</v>
      </c>
    </row>
    <row r="77" spans="2:18" ht="12" x14ac:dyDescent="0.2">
      <c r="B77" s="236" t="s">
        <v>173</v>
      </c>
      <c r="C77" s="289" t="s">
        <v>171</v>
      </c>
      <c r="D77" s="289" t="s">
        <v>139</v>
      </c>
      <c r="E77" s="254" t="s">
        <v>440</v>
      </c>
      <c r="F77" s="256"/>
      <c r="G77" s="252" t="s">
        <v>174</v>
      </c>
      <c r="H77" s="255">
        <v>0</v>
      </c>
      <c r="I77" s="255">
        <v>0</v>
      </c>
      <c r="J77" s="255">
        <v>0</v>
      </c>
      <c r="K77" s="255">
        <v>0</v>
      </c>
      <c r="L77" s="255">
        <v>0</v>
      </c>
      <c r="M77" s="255">
        <v>0</v>
      </c>
      <c r="N77" s="255">
        <v>0</v>
      </c>
      <c r="O77" s="255">
        <v>0</v>
      </c>
      <c r="P77" s="255">
        <v>0</v>
      </c>
      <c r="Q77" s="255">
        <v>0</v>
      </c>
      <c r="R77" s="255">
        <v>0</v>
      </c>
    </row>
    <row r="78" spans="2:18" ht="12" x14ac:dyDescent="0.2">
      <c r="B78" s="236" t="s">
        <v>175</v>
      </c>
      <c r="C78" s="289" t="s">
        <v>176</v>
      </c>
      <c r="D78" s="289" t="s">
        <v>139</v>
      </c>
      <c r="E78" s="254" t="s">
        <v>440</v>
      </c>
      <c r="F78" s="256"/>
      <c r="G78" s="252" t="s">
        <v>177</v>
      </c>
      <c r="H78" s="255">
        <v>0</v>
      </c>
      <c r="I78" s="255">
        <v>0</v>
      </c>
      <c r="J78" s="255">
        <v>0</v>
      </c>
      <c r="K78" s="255">
        <v>0</v>
      </c>
      <c r="L78" s="255">
        <v>0</v>
      </c>
      <c r="M78" s="255">
        <v>0</v>
      </c>
      <c r="N78" s="255">
        <v>0</v>
      </c>
      <c r="O78" s="255">
        <v>0</v>
      </c>
      <c r="P78" s="255">
        <v>0</v>
      </c>
      <c r="Q78" s="255">
        <v>0</v>
      </c>
      <c r="R78" s="255">
        <v>0</v>
      </c>
    </row>
    <row r="79" spans="2:18" ht="12" x14ac:dyDescent="0.2">
      <c r="B79" s="236" t="s">
        <v>178</v>
      </c>
      <c r="C79" s="289" t="s">
        <v>179</v>
      </c>
      <c r="D79" s="289" t="s">
        <v>139</v>
      </c>
      <c r="E79" s="254" t="s">
        <v>440</v>
      </c>
      <c r="F79" s="256"/>
      <c r="G79" s="252" t="s">
        <v>180</v>
      </c>
      <c r="H79" s="255">
        <v>0</v>
      </c>
      <c r="I79" s="255">
        <v>0</v>
      </c>
      <c r="J79" s="255">
        <v>0</v>
      </c>
      <c r="K79" s="255">
        <v>0</v>
      </c>
      <c r="L79" s="255">
        <v>0</v>
      </c>
      <c r="M79" s="255">
        <v>0</v>
      </c>
      <c r="N79" s="255">
        <v>0</v>
      </c>
      <c r="O79" s="255">
        <v>0</v>
      </c>
      <c r="P79" s="255">
        <v>0</v>
      </c>
      <c r="Q79" s="255">
        <v>0</v>
      </c>
      <c r="R79" s="255">
        <v>0</v>
      </c>
    </row>
    <row r="80" spans="2:18" ht="12" x14ac:dyDescent="0.2">
      <c r="B80" s="236" t="s">
        <v>181</v>
      </c>
      <c r="C80" s="289" t="s">
        <v>182</v>
      </c>
      <c r="D80" s="289" t="s">
        <v>139</v>
      </c>
      <c r="E80" s="254" t="s">
        <v>440</v>
      </c>
      <c r="F80" s="256"/>
      <c r="G80" s="252" t="s">
        <v>183</v>
      </c>
      <c r="H80" s="255">
        <v>0</v>
      </c>
      <c r="I80" s="255">
        <v>0</v>
      </c>
      <c r="J80" s="255">
        <v>0</v>
      </c>
      <c r="K80" s="255">
        <v>0</v>
      </c>
      <c r="L80" s="255">
        <v>0</v>
      </c>
      <c r="M80" s="255">
        <v>0</v>
      </c>
      <c r="N80" s="255">
        <v>0</v>
      </c>
      <c r="O80" s="255">
        <v>0</v>
      </c>
      <c r="P80" s="255">
        <v>0</v>
      </c>
      <c r="Q80" s="255">
        <v>0</v>
      </c>
      <c r="R80" s="255">
        <v>0</v>
      </c>
    </row>
    <row r="81" spans="1:18" ht="12" x14ac:dyDescent="0.2">
      <c r="B81" s="236" t="s">
        <v>184</v>
      </c>
      <c r="C81" s="289" t="s">
        <v>55</v>
      </c>
      <c r="D81" s="289" t="s">
        <v>139</v>
      </c>
      <c r="E81" s="254" t="s">
        <v>440</v>
      </c>
      <c r="F81" s="256"/>
      <c r="G81" s="252" t="s">
        <v>185</v>
      </c>
      <c r="H81" s="255">
        <v>0</v>
      </c>
      <c r="I81" s="255">
        <v>0</v>
      </c>
      <c r="J81" s="255">
        <v>0</v>
      </c>
      <c r="K81" s="255">
        <v>0</v>
      </c>
      <c r="L81" s="255">
        <v>0</v>
      </c>
      <c r="M81" s="255">
        <v>0</v>
      </c>
      <c r="N81" s="255">
        <v>0</v>
      </c>
      <c r="O81" s="255">
        <v>0</v>
      </c>
      <c r="P81" s="255">
        <v>0</v>
      </c>
      <c r="Q81" s="255">
        <v>0</v>
      </c>
      <c r="R81" s="255">
        <v>0</v>
      </c>
    </row>
    <row r="82" spans="1:18" ht="12" x14ac:dyDescent="0.2">
      <c r="B82" s="236" t="s">
        <v>186</v>
      </c>
      <c r="C82" s="289" t="s">
        <v>187</v>
      </c>
      <c r="D82" s="289" t="s">
        <v>135</v>
      </c>
      <c r="E82" s="254" t="s">
        <v>14</v>
      </c>
      <c r="G82" s="252" t="s">
        <v>188</v>
      </c>
      <c r="H82" s="255">
        <v>0</v>
      </c>
      <c r="I82" s="255">
        <v>0</v>
      </c>
      <c r="J82" s="255">
        <v>0</v>
      </c>
      <c r="K82" s="255">
        <v>0</v>
      </c>
      <c r="L82" s="255">
        <v>0</v>
      </c>
      <c r="M82" s="255">
        <v>0</v>
      </c>
      <c r="N82" s="255">
        <v>0</v>
      </c>
      <c r="O82" s="255">
        <v>0</v>
      </c>
      <c r="P82" s="255">
        <v>0</v>
      </c>
      <c r="Q82" s="255">
        <v>0</v>
      </c>
      <c r="R82" s="255">
        <v>0</v>
      </c>
    </row>
    <row r="83" spans="1:18" ht="12" x14ac:dyDescent="0.2">
      <c r="B83" s="236" t="s">
        <v>189</v>
      </c>
      <c r="C83" s="289" t="s">
        <v>187</v>
      </c>
      <c r="D83" s="289" t="s">
        <v>139</v>
      </c>
      <c r="E83" s="254" t="s">
        <v>440</v>
      </c>
      <c r="F83" s="256"/>
      <c r="G83" s="252" t="s">
        <v>190</v>
      </c>
      <c r="H83" s="255">
        <v>0</v>
      </c>
      <c r="I83" s="255">
        <v>0</v>
      </c>
      <c r="J83" s="255">
        <v>0</v>
      </c>
      <c r="K83" s="255">
        <v>0</v>
      </c>
      <c r="L83" s="255">
        <v>0</v>
      </c>
      <c r="M83" s="255">
        <v>0</v>
      </c>
      <c r="N83" s="255">
        <v>0</v>
      </c>
      <c r="O83" s="255">
        <v>0</v>
      </c>
      <c r="P83" s="255">
        <v>0</v>
      </c>
      <c r="Q83" s="255">
        <v>0</v>
      </c>
      <c r="R83" s="255">
        <v>0</v>
      </c>
    </row>
    <row r="84" spans="1:18" ht="12" x14ac:dyDescent="0.2">
      <c r="B84" s="236" t="s">
        <v>191</v>
      </c>
      <c r="C84" s="293">
        <v>68</v>
      </c>
      <c r="D84" s="289" t="s">
        <v>139</v>
      </c>
      <c r="E84" s="254" t="s">
        <v>440</v>
      </c>
      <c r="F84" s="256"/>
      <c r="G84" s="294" t="s">
        <v>114</v>
      </c>
      <c r="H84" s="255">
        <v>0</v>
      </c>
      <c r="I84" s="255">
        <v>0</v>
      </c>
      <c r="J84" s="255">
        <v>0</v>
      </c>
      <c r="K84" s="255">
        <v>0</v>
      </c>
      <c r="L84" s="255">
        <v>0</v>
      </c>
      <c r="M84" s="255">
        <v>0</v>
      </c>
      <c r="N84" s="255">
        <v>0</v>
      </c>
      <c r="O84" s="255">
        <v>0</v>
      </c>
      <c r="P84" s="255">
        <v>0</v>
      </c>
      <c r="Q84" s="255">
        <v>0</v>
      </c>
      <c r="R84" s="255">
        <v>0</v>
      </c>
    </row>
    <row r="85" spans="1:18" x14ac:dyDescent="0.2">
      <c r="B85" s="236" t="s">
        <v>192</v>
      </c>
      <c r="G85" s="294" t="s">
        <v>163</v>
      </c>
      <c r="H85" s="249">
        <f t="shared" ref="H85:R85" si="18">SUM(H74:H84)</f>
        <v>0</v>
      </c>
      <c r="I85" s="249">
        <f t="shared" si="18"/>
        <v>0</v>
      </c>
      <c r="J85" s="249">
        <f t="shared" si="18"/>
        <v>0</v>
      </c>
      <c r="K85" s="249">
        <f t="shared" si="18"/>
        <v>0</v>
      </c>
      <c r="L85" s="249">
        <f t="shared" si="18"/>
        <v>0</v>
      </c>
      <c r="M85" s="249">
        <f t="shared" si="18"/>
        <v>0</v>
      </c>
      <c r="N85" s="249">
        <f t="shared" si="18"/>
        <v>0</v>
      </c>
      <c r="O85" s="249">
        <f t="shared" si="18"/>
        <v>0</v>
      </c>
      <c r="P85" s="249">
        <f t="shared" si="18"/>
        <v>0</v>
      </c>
      <c r="Q85" s="249">
        <f t="shared" si="18"/>
        <v>0</v>
      </c>
      <c r="R85" s="249">
        <f t="shared" si="18"/>
        <v>0</v>
      </c>
    </row>
    <row r="87" spans="1:18" x14ac:dyDescent="0.2">
      <c r="A87" s="257" t="s">
        <v>0</v>
      </c>
      <c r="D87" s="1195" t="s">
        <v>193</v>
      </c>
      <c r="E87" s="1196"/>
      <c r="G87" s="244" t="s">
        <v>194</v>
      </c>
      <c r="H87" s="275">
        <f t="shared" ref="H87:R87" si="19">H32</f>
        <v>2011</v>
      </c>
      <c r="I87" s="275">
        <f t="shared" si="19"/>
        <v>2012</v>
      </c>
      <c r="J87" s="275">
        <f t="shared" si="19"/>
        <v>2013</v>
      </c>
      <c r="K87" s="275">
        <f t="shared" si="19"/>
        <v>2014</v>
      </c>
      <c r="L87" s="275">
        <f t="shared" si="19"/>
        <v>2015</v>
      </c>
      <c r="M87" s="275">
        <f t="shared" si="19"/>
        <v>2016</v>
      </c>
      <c r="N87" s="275">
        <f t="shared" si="19"/>
        <v>2017</v>
      </c>
      <c r="O87" s="275">
        <f t="shared" si="19"/>
        <v>2018</v>
      </c>
      <c r="P87" s="275">
        <f t="shared" si="19"/>
        <v>2019</v>
      </c>
      <c r="Q87" s="275">
        <f t="shared" si="19"/>
        <v>2020</v>
      </c>
      <c r="R87" s="275">
        <f t="shared" si="19"/>
        <v>2021</v>
      </c>
    </row>
    <row r="88" spans="1:18" x14ac:dyDescent="0.2">
      <c r="A88" s="250" t="s">
        <v>195</v>
      </c>
      <c r="B88" s="236" t="s">
        <v>196</v>
      </c>
      <c r="C88" s="250" t="s">
        <v>197</v>
      </c>
      <c r="E88" s="295"/>
      <c r="G88" s="248" t="s">
        <v>198</v>
      </c>
      <c r="H88" s="249">
        <f>H46+H71</f>
        <v>0</v>
      </c>
      <c r="I88" s="249">
        <f t="shared" ref="I88:R88" si="20">I46+I71</f>
        <v>0</v>
      </c>
      <c r="J88" s="249">
        <f t="shared" si="20"/>
        <v>0.377</v>
      </c>
      <c r="K88" s="249">
        <f t="shared" si="20"/>
        <v>12.171000000000001</v>
      </c>
      <c r="L88" s="249">
        <f t="shared" si="20"/>
        <v>8.315999999999848</v>
      </c>
      <c r="M88" s="249">
        <f t="shared" si="20"/>
        <v>50.862999999999879</v>
      </c>
      <c r="N88" s="249">
        <f t="shared" si="20"/>
        <v>7.2549999999998152</v>
      </c>
      <c r="O88" s="249">
        <f t="shared" si="20"/>
        <v>14.918299999999865</v>
      </c>
      <c r="P88" s="249">
        <f t="shared" si="20"/>
        <v>12.471264999999951</v>
      </c>
      <c r="Q88" s="249">
        <f t="shared" si="20"/>
        <v>9.9077782499999127</v>
      </c>
      <c r="R88" s="249">
        <f t="shared" si="20"/>
        <v>7.0197171624998207</v>
      </c>
    </row>
    <row r="89" spans="1:18" x14ac:dyDescent="0.2">
      <c r="A89" s="250" t="s">
        <v>199</v>
      </c>
      <c r="B89" s="236" t="s">
        <v>200</v>
      </c>
      <c r="C89" s="289" t="s">
        <v>201</v>
      </c>
      <c r="E89" s="295"/>
      <c r="G89" s="248" t="s">
        <v>202</v>
      </c>
      <c r="H89" s="296">
        <f t="shared" ref="H89:R89" si="21">H33+H38+H41-H45</f>
        <v>0</v>
      </c>
      <c r="I89" s="249">
        <f t="shared" si="21"/>
        <v>0</v>
      </c>
      <c r="J89" s="249">
        <f t="shared" si="21"/>
        <v>0</v>
      </c>
      <c r="K89" s="249">
        <f t="shared" si="21"/>
        <v>12.171000000000001</v>
      </c>
      <c r="L89" s="249">
        <f t="shared" si="21"/>
        <v>8.2359999999998479</v>
      </c>
      <c r="M89" s="249">
        <f t="shared" si="21"/>
        <v>51.638999999999875</v>
      </c>
      <c r="N89" s="249">
        <f t="shared" si="21"/>
        <v>8.3939999999998154</v>
      </c>
      <c r="O89" s="249">
        <f t="shared" si="21"/>
        <v>16.056299999999865</v>
      </c>
      <c r="P89" s="249">
        <f t="shared" si="21"/>
        <v>13.60826499999995</v>
      </c>
      <c r="Q89" s="249">
        <f t="shared" si="21"/>
        <v>11.043778249999912</v>
      </c>
      <c r="R89" s="249">
        <f t="shared" si="21"/>
        <v>8.1557171624998208</v>
      </c>
    </row>
    <row r="90" spans="1:18" x14ac:dyDescent="0.2">
      <c r="A90" s="250" t="s">
        <v>203</v>
      </c>
      <c r="B90" s="236" t="s">
        <v>204</v>
      </c>
      <c r="C90" s="250" t="s">
        <v>205</v>
      </c>
      <c r="E90" s="297">
        <v>0</v>
      </c>
      <c r="G90" s="294" t="s">
        <v>206</v>
      </c>
      <c r="H90" s="298" t="e">
        <f t="shared" ref="H90:R90" si="22">H89/H33</f>
        <v>#DIV/0!</v>
      </c>
      <c r="I90" s="299" t="e">
        <f t="shared" si="22"/>
        <v>#DIV/0!</v>
      </c>
      <c r="J90" s="299" t="e">
        <f t="shared" si="22"/>
        <v>#DIV/0!</v>
      </c>
      <c r="K90" s="299">
        <f t="shared" si="22"/>
        <v>0.92646722996117836</v>
      </c>
      <c r="L90" s="299">
        <f t="shared" si="22"/>
        <v>8.6205182149789849E-3</v>
      </c>
      <c r="M90" s="299">
        <f t="shared" si="22"/>
        <v>5.0395737164160043E-2</v>
      </c>
      <c r="N90" s="299">
        <f t="shared" si="22"/>
        <v>8.8732251435528157E-3</v>
      </c>
      <c r="O90" s="299">
        <f t="shared" si="22"/>
        <v>1.6051619347798047E-2</v>
      </c>
      <c r="P90" s="299">
        <f t="shared" si="22"/>
        <v>1.2999794288566341E-2</v>
      </c>
      <c r="Q90" s="299">
        <f t="shared" si="22"/>
        <v>1.007969117856582E-2</v>
      </c>
      <c r="R90" s="299">
        <f t="shared" si="22"/>
        <v>7.1109183646430093E-3</v>
      </c>
    </row>
    <row r="91" spans="1:18" x14ac:dyDescent="0.2">
      <c r="A91" s="250" t="s">
        <v>207</v>
      </c>
      <c r="B91" s="236" t="s">
        <v>208</v>
      </c>
      <c r="C91" s="289" t="s">
        <v>209</v>
      </c>
      <c r="E91" s="295"/>
      <c r="G91" s="252" t="s">
        <v>210</v>
      </c>
      <c r="H91" s="300" t="e">
        <f t="shared" ref="H91:R91" si="23">-H33/(H38+H41)</f>
        <v>#DIV/0!</v>
      </c>
      <c r="I91" s="300" t="e">
        <f t="shared" si="23"/>
        <v>#DIV/0!</v>
      </c>
      <c r="J91" s="300" t="e">
        <f t="shared" si="23"/>
        <v>#DIV/0!</v>
      </c>
      <c r="K91" s="300">
        <f t="shared" si="23"/>
        <v>13.599378881987578</v>
      </c>
      <c r="L91" s="300">
        <f t="shared" si="23"/>
        <v>1.0070814407854305</v>
      </c>
      <c r="M91" s="300">
        <f t="shared" si="23"/>
        <v>1.0518238854261617</v>
      </c>
      <c r="N91" s="300">
        <f t="shared" si="23"/>
        <v>1.0073239244649743</v>
      </c>
      <c r="O91" s="300">
        <f t="shared" si="23"/>
        <v>1.0147515045138711</v>
      </c>
      <c r="P91" s="300">
        <f t="shared" si="23"/>
        <v>1.0116885336146921</v>
      </c>
      <c r="Q91" s="300">
        <f t="shared" si="23"/>
        <v>1.0087751039375157</v>
      </c>
      <c r="R91" s="300">
        <f t="shared" si="23"/>
        <v>1.0058254829065503</v>
      </c>
    </row>
    <row r="92" spans="1:18" x14ac:dyDescent="0.2">
      <c r="A92" s="250" t="s">
        <v>211</v>
      </c>
      <c r="B92" s="236" t="s">
        <v>212</v>
      </c>
      <c r="C92" s="250" t="s">
        <v>213</v>
      </c>
      <c r="E92" s="295"/>
      <c r="G92" s="248" t="s">
        <v>214</v>
      </c>
      <c r="H92" s="296">
        <f>H46</f>
        <v>0</v>
      </c>
      <c r="I92" s="296">
        <f t="shared" ref="I92:R92" si="24">I46</f>
        <v>0</v>
      </c>
      <c r="J92" s="296">
        <f t="shared" si="24"/>
        <v>0</v>
      </c>
      <c r="K92" s="296">
        <f t="shared" si="24"/>
        <v>12.171000000000001</v>
      </c>
      <c r="L92" s="296">
        <f t="shared" si="24"/>
        <v>6.7179999999998472</v>
      </c>
      <c r="M92" s="296">
        <f t="shared" si="24"/>
        <v>50.485999999999876</v>
      </c>
      <c r="N92" s="296">
        <f t="shared" si="24"/>
        <v>6.8779999999998154</v>
      </c>
      <c r="O92" s="296">
        <f t="shared" si="24"/>
        <v>14.541299999999865</v>
      </c>
      <c r="P92" s="296">
        <f t="shared" si="24"/>
        <v>12.09426499999995</v>
      </c>
      <c r="Q92" s="296">
        <f t="shared" si="24"/>
        <v>9.5307782499999121</v>
      </c>
      <c r="R92" s="296">
        <f t="shared" si="24"/>
        <v>6.6427171624998209</v>
      </c>
    </row>
    <row r="93" spans="1:18" x14ac:dyDescent="0.2">
      <c r="A93" s="250" t="s">
        <v>215</v>
      </c>
      <c r="B93" s="236" t="s">
        <v>216</v>
      </c>
      <c r="C93" s="250" t="s">
        <v>217</v>
      </c>
      <c r="D93" s="297">
        <v>-0.3</v>
      </c>
      <c r="E93" s="297">
        <v>0</v>
      </c>
      <c r="G93" s="252" t="s">
        <v>218</v>
      </c>
      <c r="H93" s="301" t="e">
        <f>H46/H33</f>
        <v>#DIV/0!</v>
      </c>
      <c r="I93" s="302" t="e">
        <f t="shared" ref="I93:R93" si="25">I46/I33</f>
        <v>#DIV/0!</v>
      </c>
      <c r="J93" s="302" t="e">
        <f t="shared" si="25"/>
        <v>#DIV/0!</v>
      </c>
      <c r="K93" s="302">
        <f t="shared" si="25"/>
        <v>0.92646722996117836</v>
      </c>
      <c r="L93" s="302">
        <f t="shared" si="25"/>
        <v>7.0316465964337755E-3</v>
      </c>
      <c r="M93" s="302">
        <f t="shared" si="25"/>
        <v>4.9270496842885876E-2</v>
      </c>
      <c r="N93" s="302">
        <f t="shared" si="25"/>
        <v>7.2706745934424562E-3</v>
      </c>
      <c r="O93" s="302">
        <f t="shared" si="25"/>
        <v>1.4537060993014302E-2</v>
      </c>
      <c r="P93" s="302">
        <f t="shared" si="25"/>
        <v>1.1553490255473989E-2</v>
      </c>
      <c r="Q93" s="302">
        <f t="shared" si="25"/>
        <v>8.6987713150969738E-3</v>
      </c>
      <c r="R93" s="302">
        <f t="shared" si="25"/>
        <v>5.7917432055075036E-3</v>
      </c>
    </row>
    <row r="94" spans="1:18" x14ac:dyDescent="0.2">
      <c r="A94" s="250" t="s">
        <v>219</v>
      </c>
      <c r="B94" s="236" t="s">
        <v>220</v>
      </c>
      <c r="C94" s="250" t="s">
        <v>221</v>
      </c>
      <c r="E94" s="295"/>
      <c r="G94" s="294" t="s">
        <v>222</v>
      </c>
      <c r="H94" s="296">
        <f>H29+H30</f>
        <v>0</v>
      </c>
      <c r="I94" s="296">
        <f t="shared" ref="I94:R94" si="26">I29+I30</f>
        <v>0</v>
      </c>
      <c r="J94" s="296">
        <f t="shared" si="26"/>
        <v>0</v>
      </c>
      <c r="K94" s="296">
        <f t="shared" si="26"/>
        <v>11.914</v>
      </c>
      <c r="L94" s="296">
        <f t="shared" si="26"/>
        <v>19.244</v>
      </c>
      <c r="M94" s="296">
        <f t="shared" si="26"/>
        <v>70.161999999999992</v>
      </c>
      <c r="N94" s="296">
        <f t="shared" si="26"/>
        <v>77.039999999999992</v>
      </c>
      <c r="O94" s="296">
        <f t="shared" si="26"/>
        <v>91.580999999999989</v>
      </c>
      <c r="P94" s="296">
        <f t="shared" si="26"/>
        <v>103.67499999999998</v>
      </c>
      <c r="Q94" s="296">
        <f t="shared" si="26"/>
        <v>113.20599999999999</v>
      </c>
      <c r="R94" s="296">
        <f t="shared" si="26"/>
        <v>119.84899999999999</v>
      </c>
    </row>
    <row r="95" spans="1:18" x14ac:dyDescent="0.2">
      <c r="G95" s="303" t="s">
        <v>223</v>
      </c>
      <c r="H95" s="275">
        <f t="shared" ref="H95:R95" si="27">H87</f>
        <v>2011</v>
      </c>
      <c r="I95" s="275">
        <f t="shared" si="27"/>
        <v>2012</v>
      </c>
      <c r="J95" s="275">
        <f t="shared" si="27"/>
        <v>2013</v>
      </c>
      <c r="K95" s="275">
        <f t="shared" si="27"/>
        <v>2014</v>
      </c>
      <c r="L95" s="275">
        <f t="shared" si="27"/>
        <v>2015</v>
      </c>
      <c r="M95" s="275">
        <f t="shared" si="27"/>
        <v>2016</v>
      </c>
      <c r="N95" s="275">
        <f t="shared" si="27"/>
        <v>2017</v>
      </c>
      <c r="O95" s="275">
        <f t="shared" si="27"/>
        <v>2018</v>
      </c>
      <c r="P95" s="275">
        <f t="shared" si="27"/>
        <v>2019</v>
      </c>
      <c r="Q95" s="275">
        <f t="shared" si="27"/>
        <v>2020</v>
      </c>
      <c r="R95" s="275">
        <f t="shared" si="27"/>
        <v>2021</v>
      </c>
    </row>
    <row r="96" spans="1:18" x14ac:dyDescent="0.2">
      <c r="A96" s="289" t="s">
        <v>224</v>
      </c>
      <c r="B96" s="236" t="s">
        <v>225</v>
      </c>
      <c r="C96" s="253" t="s">
        <v>226</v>
      </c>
      <c r="E96" s="295"/>
      <c r="F96" s="304"/>
      <c r="G96" s="248" t="s">
        <v>227</v>
      </c>
      <c r="H96" s="296">
        <f t="shared" ref="H96:R96" si="28">H6+H12</f>
        <v>0</v>
      </c>
      <c r="I96" s="249">
        <f t="shared" si="28"/>
        <v>0</v>
      </c>
      <c r="J96" s="249">
        <f t="shared" si="28"/>
        <v>0</v>
      </c>
      <c r="K96" s="249">
        <f t="shared" si="28"/>
        <v>0</v>
      </c>
      <c r="L96" s="249">
        <f t="shared" si="28"/>
        <v>167.76</v>
      </c>
      <c r="M96" s="249">
        <f t="shared" si="28"/>
        <v>206.21299999999999</v>
      </c>
      <c r="N96" s="249">
        <f t="shared" si="28"/>
        <v>214.607</v>
      </c>
      <c r="O96" s="249">
        <f t="shared" si="28"/>
        <v>230.66299999999998</v>
      </c>
      <c r="P96" s="249">
        <f t="shared" si="28"/>
        <v>244.27099999999999</v>
      </c>
      <c r="Q96" s="249">
        <f t="shared" si="28"/>
        <v>255.315</v>
      </c>
      <c r="R96" s="249">
        <f t="shared" si="28"/>
        <v>263.47099999999995</v>
      </c>
    </row>
    <row r="97" spans="1:18" x14ac:dyDescent="0.2">
      <c r="A97" s="250" t="s">
        <v>228</v>
      </c>
      <c r="B97" s="236" t="s">
        <v>229</v>
      </c>
      <c r="C97" s="250" t="s">
        <v>45</v>
      </c>
      <c r="E97" s="295"/>
      <c r="F97" s="304"/>
      <c r="G97" s="252" t="s">
        <v>230</v>
      </c>
      <c r="H97" s="296">
        <f>H19</f>
        <v>0</v>
      </c>
      <c r="I97" s="296">
        <f t="shared" ref="I97:R97" si="29">I19</f>
        <v>0</v>
      </c>
      <c r="J97" s="296">
        <f t="shared" si="29"/>
        <v>0</v>
      </c>
      <c r="K97" s="296">
        <f t="shared" si="29"/>
        <v>39.841999999999999</v>
      </c>
      <c r="L97" s="296">
        <f t="shared" si="29"/>
        <v>106.20399999999999</v>
      </c>
      <c r="M97" s="296">
        <f t="shared" si="29"/>
        <v>155.25899999999999</v>
      </c>
      <c r="N97" s="296">
        <f t="shared" si="29"/>
        <v>155.11799999999999</v>
      </c>
      <c r="O97" s="296">
        <f t="shared" si="29"/>
        <v>155.55799999999999</v>
      </c>
      <c r="P97" s="296">
        <f t="shared" si="29"/>
        <v>154.99700000000001</v>
      </c>
      <c r="Q97" s="296">
        <f t="shared" si="29"/>
        <v>155.435</v>
      </c>
      <c r="R97" s="296">
        <f t="shared" si="29"/>
        <v>148.70699999999999</v>
      </c>
    </row>
    <row r="98" spans="1:18" x14ac:dyDescent="0.2">
      <c r="A98" s="250" t="s">
        <v>231</v>
      </c>
      <c r="B98" s="236" t="s">
        <v>232</v>
      </c>
      <c r="C98" s="250" t="s">
        <v>233</v>
      </c>
      <c r="E98" s="295"/>
      <c r="F98" s="304"/>
      <c r="G98" s="252" t="s">
        <v>234</v>
      </c>
      <c r="H98" s="296">
        <f t="shared" ref="H98:R98" si="30">H97-H96</f>
        <v>0</v>
      </c>
      <c r="I98" s="249">
        <f t="shared" si="30"/>
        <v>0</v>
      </c>
      <c r="J98" s="249">
        <f t="shared" si="30"/>
        <v>0</v>
      </c>
      <c r="K98" s="249">
        <f t="shared" si="30"/>
        <v>39.841999999999999</v>
      </c>
      <c r="L98" s="249">
        <f t="shared" si="30"/>
        <v>-61.555999999999997</v>
      </c>
      <c r="M98" s="249">
        <f>M97-M96</f>
        <v>-50.954000000000008</v>
      </c>
      <c r="N98" s="249">
        <f t="shared" si="30"/>
        <v>-59.489000000000004</v>
      </c>
      <c r="O98" s="249">
        <f t="shared" si="30"/>
        <v>-75.10499999999999</v>
      </c>
      <c r="P98" s="249">
        <f t="shared" si="30"/>
        <v>-89.273999999999972</v>
      </c>
      <c r="Q98" s="249">
        <f t="shared" si="30"/>
        <v>-99.88</v>
      </c>
      <c r="R98" s="249">
        <f t="shared" si="30"/>
        <v>-114.76399999999995</v>
      </c>
    </row>
    <row r="99" spans="1:18" x14ac:dyDescent="0.2">
      <c r="A99" s="289" t="s">
        <v>235</v>
      </c>
      <c r="B99" s="236" t="s">
        <v>236</v>
      </c>
      <c r="C99" s="250" t="s">
        <v>237</v>
      </c>
      <c r="E99" s="297">
        <v>0.4</v>
      </c>
      <c r="F99" s="304"/>
      <c r="G99" s="252" t="s">
        <v>238</v>
      </c>
      <c r="H99" s="305" t="e">
        <f t="shared" ref="H99:R99" si="31">H98/H33</f>
        <v>#DIV/0!</v>
      </c>
      <c r="I99" s="299" t="e">
        <f t="shared" si="31"/>
        <v>#DIV/0!</v>
      </c>
      <c r="J99" s="299" t="e">
        <f t="shared" si="31"/>
        <v>#DIV/0!</v>
      </c>
      <c r="K99" s="299">
        <f t="shared" si="31"/>
        <v>3.0328080992616271</v>
      </c>
      <c r="L99" s="299">
        <f>L98/L33</f>
        <v>-6.442989548825355E-2</v>
      </c>
      <c r="M99" s="299">
        <f>M98/M33</f>
        <v>-4.9727229254296512E-2</v>
      </c>
      <c r="N99" s="299">
        <f t="shared" si="31"/>
        <v>-6.288530981234515E-2</v>
      </c>
      <c r="O99" s="299">
        <f t="shared" si="31"/>
        <v>-7.5083105766358516E-2</v>
      </c>
      <c r="P99" s="299">
        <f t="shared" si="31"/>
        <v>-8.5282263045103501E-2</v>
      </c>
      <c r="Q99" s="299">
        <f t="shared" si="31"/>
        <v>-9.1160790458207727E-2</v>
      </c>
      <c r="R99" s="299">
        <f t="shared" si="31"/>
        <v>-0.10006200790682555</v>
      </c>
    </row>
    <row r="100" spans="1:18" x14ac:dyDescent="0.2">
      <c r="A100" s="250" t="s">
        <v>239</v>
      </c>
      <c r="B100" s="236" t="s">
        <v>240</v>
      </c>
      <c r="C100" s="250" t="s">
        <v>241</v>
      </c>
      <c r="D100" s="306">
        <v>0</v>
      </c>
      <c r="E100" s="306">
        <v>5</v>
      </c>
      <c r="F100" s="304"/>
      <c r="G100" s="252" t="s">
        <v>242</v>
      </c>
      <c r="H100" s="300" t="e">
        <f t="shared" ref="H100:R100" si="32">H98/H89</f>
        <v>#DIV/0!</v>
      </c>
      <c r="I100" s="300" t="e">
        <f t="shared" si="32"/>
        <v>#DIV/0!</v>
      </c>
      <c r="J100" s="300" t="e">
        <f t="shared" si="32"/>
        <v>#DIV/0!</v>
      </c>
      <c r="K100" s="300">
        <f t="shared" si="32"/>
        <v>3.2735190206227913</v>
      </c>
      <c r="L100" s="300">
        <f t="shared" si="32"/>
        <v>-7.4740165128704632</v>
      </c>
      <c r="M100" s="300">
        <f t="shared" si="32"/>
        <v>-0.9867348322004712</v>
      </c>
      <c r="N100" s="300">
        <f t="shared" si="32"/>
        <v>-7.0870860138195511</v>
      </c>
      <c r="O100" s="300">
        <f t="shared" si="32"/>
        <v>-4.6776031837970526</v>
      </c>
      <c r="P100" s="300">
        <f t="shared" si="32"/>
        <v>-6.5602778899441114</v>
      </c>
      <c r="Q100" s="300">
        <f t="shared" si="32"/>
        <v>-9.0440062937700496</v>
      </c>
      <c r="R100" s="300">
        <f t="shared" si="32"/>
        <v>-14.071601272256904</v>
      </c>
    </row>
    <row r="101" spans="1:18" x14ac:dyDescent="0.2">
      <c r="A101" s="250" t="s">
        <v>243</v>
      </c>
      <c r="B101" s="236" t="s">
        <v>244</v>
      </c>
      <c r="C101" s="250" t="s">
        <v>245</v>
      </c>
      <c r="E101" s="295"/>
      <c r="F101" s="304"/>
      <c r="G101" s="252" t="s">
        <v>246</v>
      </c>
      <c r="H101" s="296">
        <f t="shared" ref="H101:R101" si="33">-(H75+H77+H78+H79+H80+H81)</f>
        <v>0</v>
      </c>
      <c r="I101" s="296">
        <f t="shared" si="33"/>
        <v>0</v>
      </c>
      <c r="J101" s="296">
        <f t="shared" si="33"/>
        <v>0</v>
      </c>
      <c r="K101" s="296">
        <f t="shared" si="33"/>
        <v>0</v>
      </c>
      <c r="L101" s="296">
        <f t="shared" si="33"/>
        <v>0</v>
      </c>
      <c r="M101" s="296">
        <f t="shared" si="33"/>
        <v>0</v>
      </c>
      <c r="N101" s="296">
        <f t="shared" si="33"/>
        <v>0</v>
      </c>
      <c r="O101" s="296">
        <f t="shared" si="33"/>
        <v>0</v>
      </c>
      <c r="P101" s="296">
        <f t="shared" si="33"/>
        <v>0</v>
      </c>
      <c r="Q101" s="296">
        <f t="shared" si="33"/>
        <v>0</v>
      </c>
      <c r="R101" s="296">
        <f t="shared" si="33"/>
        <v>0</v>
      </c>
    </row>
    <row r="102" spans="1:18" x14ac:dyDescent="0.2">
      <c r="A102" s="250" t="s">
        <v>247</v>
      </c>
      <c r="B102" s="236" t="s">
        <v>248</v>
      </c>
      <c r="C102" s="250" t="s">
        <v>249</v>
      </c>
      <c r="E102" s="306">
        <v>1.2</v>
      </c>
      <c r="F102" s="304"/>
      <c r="G102" s="252" t="s">
        <v>250</v>
      </c>
      <c r="H102" s="307" t="e">
        <f t="shared" ref="H102:R102" si="34">H89/H101</f>
        <v>#DIV/0!</v>
      </c>
      <c r="I102" s="300" t="e">
        <f t="shared" si="34"/>
        <v>#DIV/0!</v>
      </c>
      <c r="J102" s="300" t="e">
        <f t="shared" si="34"/>
        <v>#DIV/0!</v>
      </c>
      <c r="K102" s="300" t="e">
        <f t="shared" si="34"/>
        <v>#DIV/0!</v>
      </c>
      <c r="L102" s="300" t="e">
        <f t="shared" si="34"/>
        <v>#DIV/0!</v>
      </c>
      <c r="M102" s="300" t="e">
        <f t="shared" si="34"/>
        <v>#DIV/0!</v>
      </c>
      <c r="N102" s="300" t="e">
        <f t="shared" si="34"/>
        <v>#DIV/0!</v>
      </c>
      <c r="O102" s="300" t="e">
        <f t="shared" si="34"/>
        <v>#DIV/0!</v>
      </c>
      <c r="P102" s="300" t="e">
        <f t="shared" si="34"/>
        <v>#DIV/0!</v>
      </c>
      <c r="Q102" s="300" t="e">
        <f t="shared" si="34"/>
        <v>#DIV/0!</v>
      </c>
      <c r="R102" s="300" t="e">
        <f t="shared" si="34"/>
        <v>#DIV/0!</v>
      </c>
    </row>
    <row r="103" spans="1:18" x14ac:dyDescent="0.2">
      <c r="A103" s="308" t="s">
        <v>251</v>
      </c>
      <c r="B103" s="236" t="s">
        <v>252</v>
      </c>
      <c r="C103" s="250" t="s">
        <v>253</v>
      </c>
      <c r="E103" s="306">
        <v>0</v>
      </c>
      <c r="F103" s="304"/>
      <c r="G103" s="248" t="s">
        <v>254</v>
      </c>
      <c r="H103" s="296">
        <f t="shared" ref="H103:R103" si="35">H5-H20</f>
        <v>0</v>
      </c>
      <c r="I103" s="296">
        <f t="shared" si="35"/>
        <v>0</v>
      </c>
      <c r="J103" s="296">
        <f t="shared" si="35"/>
        <v>0</v>
      </c>
      <c r="K103" s="296">
        <f t="shared" si="35"/>
        <v>17.451000000000001</v>
      </c>
      <c r="L103" s="296">
        <f t="shared" si="35"/>
        <v>72.102999999999994</v>
      </c>
      <c r="M103" s="296">
        <f t="shared" si="35"/>
        <v>124.435</v>
      </c>
      <c r="N103" s="296">
        <f t="shared" si="35"/>
        <v>287.24700000000001</v>
      </c>
      <c r="O103" s="296">
        <f t="shared" si="35"/>
        <v>303.303</v>
      </c>
      <c r="P103" s="296">
        <f t="shared" si="35"/>
        <v>315.911</v>
      </c>
      <c r="Q103" s="296">
        <f t="shared" si="35"/>
        <v>326.95499999999998</v>
      </c>
      <c r="R103" s="296">
        <f t="shared" si="35"/>
        <v>335.11099999999993</v>
      </c>
    </row>
    <row r="104" spans="1:18" x14ac:dyDescent="0.2">
      <c r="A104" s="289" t="s">
        <v>255</v>
      </c>
      <c r="B104" s="236" t="s">
        <v>256</v>
      </c>
      <c r="C104" s="250" t="s">
        <v>257</v>
      </c>
      <c r="E104" s="306">
        <v>1</v>
      </c>
      <c r="F104" s="304"/>
      <c r="G104" s="252" t="s">
        <v>258</v>
      </c>
      <c r="H104" s="307" t="e">
        <f t="shared" ref="H104:R104" si="36">H5/H20</f>
        <v>#DIV/0!</v>
      </c>
      <c r="I104" s="307" t="e">
        <f t="shared" si="36"/>
        <v>#DIV/0!</v>
      </c>
      <c r="J104" s="307" t="e">
        <f t="shared" si="36"/>
        <v>#DIV/0!</v>
      </c>
      <c r="K104" s="307">
        <f t="shared" si="36"/>
        <v>1.4380051202248882</v>
      </c>
      <c r="L104" s="307">
        <f t="shared" si="36"/>
        <v>1.6789103988550338</v>
      </c>
      <c r="M104" s="307">
        <f t="shared" si="36"/>
        <v>1.8028064516129032</v>
      </c>
      <c r="N104" s="307" t="e">
        <f t="shared" si="36"/>
        <v>#DIV/0!</v>
      </c>
      <c r="O104" s="307" t="e">
        <f t="shared" si="36"/>
        <v>#DIV/0!</v>
      </c>
      <c r="P104" s="307" t="e">
        <f t="shared" si="36"/>
        <v>#DIV/0!</v>
      </c>
      <c r="Q104" s="307" t="e">
        <f t="shared" si="36"/>
        <v>#DIV/0!</v>
      </c>
      <c r="R104" s="307" t="e">
        <f t="shared" si="36"/>
        <v>#DIV/0!</v>
      </c>
    </row>
    <row r="105" spans="1:18" x14ac:dyDescent="0.2">
      <c r="A105" s="289" t="s">
        <v>259</v>
      </c>
      <c r="B105" s="236" t="s">
        <v>260</v>
      </c>
      <c r="C105" s="289" t="s">
        <v>261</v>
      </c>
      <c r="E105" s="306">
        <v>1</v>
      </c>
      <c r="F105" s="304"/>
      <c r="G105" s="294" t="s">
        <v>262</v>
      </c>
      <c r="H105" s="307" t="e">
        <f t="shared" ref="H105:R105" si="37">-H6/((H38+H41-H45+H47)/12)</f>
        <v>#DIV/0!</v>
      </c>
      <c r="I105" s="307" t="e">
        <f t="shared" si="37"/>
        <v>#DIV/0!</v>
      </c>
      <c r="J105" s="307" t="e">
        <f t="shared" si="37"/>
        <v>#DIV/0!</v>
      </c>
      <c r="K105" s="307">
        <f t="shared" si="37"/>
        <v>0</v>
      </c>
      <c r="L105" s="307">
        <f t="shared" si="37"/>
        <v>2.125779960570346</v>
      </c>
      <c r="M105" s="307">
        <f t="shared" si="37"/>
        <v>2.5431419965037083</v>
      </c>
      <c r="N105" s="307">
        <f t="shared" si="37"/>
        <v>2.7466824801247438</v>
      </c>
      <c r="O105" s="307">
        <f t="shared" si="37"/>
        <v>2.8122909227092334</v>
      </c>
      <c r="P105" s="307">
        <f t="shared" si="37"/>
        <v>2.8370672815382125</v>
      </c>
      <c r="Q105" s="307">
        <f t="shared" si="37"/>
        <v>2.8247947102044431</v>
      </c>
      <c r="R105" s="307">
        <f t="shared" si="37"/>
        <v>2.7763669604658388</v>
      </c>
    </row>
    <row r="106" spans="1:18" x14ac:dyDescent="0.2">
      <c r="C106" s="250"/>
      <c r="F106" s="304"/>
      <c r="G106" s="303" t="s">
        <v>263</v>
      </c>
      <c r="H106" s="275">
        <f t="shared" ref="H106:R106" si="38">H95</f>
        <v>2011</v>
      </c>
      <c r="I106" s="275">
        <f t="shared" si="38"/>
        <v>2012</v>
      </c>
      <c r="J106" s="275">
        <f t="shared" si="38"/>
        <v>2013</v>
      </c>
      <c r="K106" s="275">
        <f t="shared" si="38"/>
        <v>2014</v>
      </c>
      <c r="L106" s="275">
        <f t="shared" si="38"/>
        <v>2015</v>
      </c>
      <c r="M106" s="275">
        <f t="shared" si="38"/>
        <v>2016</v>
      </c>
      <c r="N106" s="275">
        <f t="shared" si="38"/>
        <v>2017</v>
      </c>
      <c r="O106" s="275">
        <f t="shared" si="38"/>
        <v>2018</v>
      </c>
      <c r="P106" s="275">
        <f t="shared" si="38"/>
        <v>2019</v>
      </c>
      <c r="Q106" s="275">
        <f t="shared" si="38"/>
        <v>2020</v>
      </c>
      <c r="R106" s="275">
        <f t="shared" si="38"/>
        <v>2021</v>
      </c>
    </row>
    <row r="107" spans="1:18" x14ac:dyDescent="0.2">
      <c r="A107" s="289" t="s">
        <v>264</v>
      </c>
      <c r="B107" s="236" t="s">
        <v>265</v>
      </c>
      <c r="C107" s="289" t="s">
        <v>266</v>
      </c>
      <c r="E107" s="297">
        <v>0.6</v>
      </c>
      <c r="F107" s="304"/>
      <c r="G107" s="248" t="s">
        <v>267</v>
      </c>
      <c r="H107" s="305" t="e">
        <f t="shared" ref="H107:R107" si="39">H17/H4</f>
        <v>#DIV/0!</v>
      </c>
      <c r="I107" s="305" t="e">
        <f t="shared" si="39"/>
        <v>#DIV/0!</v>
      </c>
      <c r="J107" s="305" t="e">
        <f t="shared" si="39"/>
        <v>#DIV/0!</v>
      </c>
      <c r="K107" s="305">
        <f t="shared" si="39"/>
        <v>0</v>
      </c>
      <c r="L107" s="305">
        <f t="shared" si="39"/>
        <v>0</v>
      </c>
      <c r="M107" s="305">
        <f t="shared" si="39"/>
        <v>0</v>
      </c>
      <c r="N107" s="305">
        <f t="shared" si="39"/>
        <v>0</v>
      </c>
      <c r="O107" s="305">
        <f t="shared" si="39"/>
        <v>0</v>
      </c>
      <c r="P107" s="305">
        <f t="shared" si="39"/>
        <v>0</v>
      </c>
      <c r="Q107" s="305">
        <f t="shared" si="39"/>
        <v>0</v>
      </c>
      <c r="R107" s="305">
        <f t="shared" si="39"/>
        <v>0</v>
      </c>
    </row>
    <row r="108" spans="1:18" x14ac:dyDescent="0.2">
      <c r="A108" s="289" t="s">
        <v>268</v>
      </c>
      <c r="B108" s="236" t="s">
        <v>269</v>
      </c>
      <c r="C108" s="289" t="s">
        <v>270</v>
      </c>
      <c r="E108" s="297">
        <v>0.4</v>
      </c>
      <c r="F108" s="304"/>
      <c r="G108" s="294" t="s">
        <v>271</v>
      </c>
      <c r="H108" s="305" t="e">
        <f t="shared" ref="H108:R108" si="40">H27/H17</f>
        <v>#DIV/0!</v>
      </c>
      <c r="I108" s="305" t="e">
        <f t="shared" si="40"/>
        <v>#DIV/0!</v>
      </c>
      <c r="J108" s="305" t="e">
        <f t="shared" si="40"/>
        <v>#DIV/0!</v>
      </c>
      <c r="K108" s="305" t="e">
        <f t="shared" si="40"/>
        <v>#DIV/0!</v>
      </c>
      <c r="L108" s="305" t="e">
        <f t="shared" si="40"/>
        <v>#DIV/0!</v>
      </c>
      <c r="M108" s="305" t="e">
        <f t="shared" si="40"/>
        <v>#DIV/0!</v>
      </c>
      <c r="N108" s="305" t="e">
        <f t="shared" si="40"/>
        <v>#DIV/0!</v>
      </c>
      <c r="O108" s="305" t="e">
        <f t="shared" si="40"/>
        <v>#DIV/0!</v>
      </c>
      <c r="P108" s="305" t="e">
        <f t="shared" si="40"/>
        <v>#DIV/0!</v>
      </c>
      <c r="Q108" s="305" t="e">
        <f t="shared" si="40"/>
        <v>#DIV/0!</v>
      </c>
      <c r="R108" s="305" t="e">
        <f t="shared" si="40"/>
        <v>#DIV/0!</v>
      </c>
    </row>
    <row r="109" spans="1:18" x14ac:dyDescent="0.2">
      <c r="C109" s="250"/>
      <c r="F109" s="304"/>
      <c r="G109" s="309" t="s">
        <v>272</v>
      </c>
      <c r="H109" s="275">
        <f t="shared" ref="H109:R109" si="41">H95</f>
        <v>2011</v>
      </c>
      <c r="I109" s="275">
        <f t="shared" si="41"/>
        <v>2012</v>
      </c>
      <c r="J109" s="275">
        <f t="shared" si="41"/>
        <v>2013</v>
      </c>
      <c r="K109" s="275">
        <f t="shared" si="41"/>
        <v>2014</v>
      </c>
      <c r="L109" s="275">
        <f t="shared" si="41"/>
        <v>2015</v>
      </c>
      <c r="M109" s="275">
        <f t="shared" si="41"/>
        <v>2016</v>
      </c>
      <c r="N109" s="275">
        <f t="shared" si="41"/>
        <v>2017</v>
      </c>
      <c r="O109" s="275">
        <f t="shared" si="41"/>
        <v>2018</v>
      </c>
      <c r="P109" s="275">
        <f t="shared" si="41"/>
        <v>2019</v>
      </c>
      <c r="Q109" s="275">
        <f t="shared" si="41"/>
        <v>2020</v>
      </c>
      <c r="R109" s="275">
        <f t="shared" si="41"/>
        <v>2021</v>
      </c>
    </row>
    <row r="110" spans="1:18" x14ac:dyDescent="0.2">
      <c r="A110" s="289" t="s">
        <v>273</v>
      </c>
      <c r="B110" s="236" t="s">
        <v>274</v>
      </c>
      <c r="C110" s="310" t="s">
        <v>275</v>
      </c>
      <c r="E110" s="295"/>
      <c r="F110" s="304"/>
      <c r="G110" s="252" t="s">
        <v>276</v>
      </c>
      <c r="H110" s="311" t="e">
        <f t="shared" ref="H110:R110" si="42">H10/H4</f>
        <v>#DIV/0!</v>
      </c>
      <c r="I110" s="311" t="e">
        <f t="shared" si="42"/>
        <v>#DIV/0!</v>
      </c>
      <c r="J110" s="311" t="e">
        <f t="shared" si="42"/>
        <v>#DIV/0!</v>
      </c>
      <c r="K110" s="311">
        <f t="shared" si="42"/>
        <v>0.20981711858328964</v>
      </c>
      <c r="L110" s="311">
        <f t="shared" si="42"/>
        <v>7.1327382006437443E-2</v>
      </c>
      <c r="M110" s="311">
        <f t="shared" si="42"/>
        <v>4.2952160451543965E-2</v>
      </c>
      <c r="N110" s="311">
        <f t="shared" si="42"/>
        <v>3.8384670235309469E-2</v>
      </c>
      <c r="O110" s="311">
        <f t="shared" si="42"/>
        <v>3.3124637385477565E-2</v>
      </c>
      <c r="P110" s="311">
        <f t="shared" si="42"/>
        <v>2.8644608227484193E-2</v>
      </c>
      <c r="Q110" s="311">
        <f t="shared" si="42"/>
        <v>2.4585615580138189E-2</v>
      </c>
      <c r="R110" s="311">
        <f t="shared" si="42"/>
        <v>0</v>
      </c>
    </row>
    <row r="111" spans="1:18" x14ac:dyDescent="0.2">
      <c r="A111" s="289" t="s">
        <v>277</v>
      </c>
      <c r="B111" s="236" t="s">
        <v>278</v>
      </c>
      <c r="C111" s="310" t="s">
        <v>279</v>
      </c>
      <c r="E111" s="295"/>
      <c r="F111" s="304"/>
      <c r="G111" s="252" t="s">
        <v>280</v>
      </c>
      <c r="H111" s="311" t="e">
        <f t="shared" ref="H111:R111" si="43">-(H58)/H15</f>
        <v>#DIV/0!</v>
      </c>
      <c r="I111" s="311" t="e">
        <f t="shared" si="43"/>
        <v>#DIV/0!</v>
      </c>
      <c r="J111" s="311" t="e">
        <f t="shared" si="43"/>
        <v>#DIV/0!</v>
      </c>
      <c r="K111" s="311">
        <f t="shared" si="43"/>
        <v>0</v>
      </c>
      <c r="L111" s="311">
        <f t="shared" si="43"/>
        <v>0</v>
      </c>
      <c r="M111" s="311">
        <f t="shared" si="43"/>
        <v>0</v>
      </c>
      <c r="N111" s="311">
        <f t="shared" si="43"/>
        <v>0</v>
      </c>
      <c r="O111" s="311">
        <f t="shared" si="43"/>
        <v>0</v>
      </c>
      <c r="P111" s="311">
        <f t="shared" si="43"/>
        <v>0</v>
      </c>
      <c r="Q111" s="311">
        <f t="shared" si="43"/>
        <v>0</v>
      </c>
      <c r="R111" s="311" t="e">
        <f t="shared" si="43"/>
        <v>#DIV/0!</v>
      </c>
    </row>
    <row r="112" spans="1:18" x14ac:dyDescent="0.2">
      <c r="A112" s="289" t="s">
        <v>281</v>
      </c>
      <c r="B112" s="236" t="s">
        <v>282</v>
      </c>
      <c r="C112" s="250" t="s">
        <v>283</v>
      </c>
      <c r="E112" s="295"/>
      <c r="F112" s="304"/>
      <c r="G112" s="248" t="s">
        <v>284</v>
      </c>
      <c r="H112" s="300" t="e">
        <f t="shared" ref="H112:R112" si="44">H33/H4</f>
        <v>#DIV/0!</v>
      </c>
      <c r="I112" s="300" t="e">
        <f t="shared" si="44"/>
        <v>#DIV/0!</v>
      </c>
      <c r="J112" s="300" t="e">
        <f t="shared" si="44"/>
        <v>#DIV/0!</v>
      </c>
      <c r="K112" s="300">
        <f t="shared" si="44"/>
        <v>0.1811850053788652</v>
      </c>
      <c r="L112" s="300">
        <f t="shared" si="44"/>
        <v>4.9759637920438333</v>
      </c>
      <c r="M112" s="300">
        <f t="shared" si="44"/>
        <v>3.5094322821053789</v>
      </c>
      <c r="N112" s="300">
        <f t="shared" si="44"/>
        <v>3.1668926360754299</v>
      </c>
      <c r="O112" s="300">
        <f t="shared" si="44"/>
        <v>3.1887495457356532</v>
      </c>
      <c r="P112" s="300">
        <f t="shared" si="44"/>
        <v>3.2186939583736902</v>
      </c>
      <c r="Q112" s="300">
        <f t="shared" si="44"/>
        <v>3.2686741160395711</v>
      </c>
      <c r="R112" s="300">
        <f t="shared" si="44"/>
        <v>3.4225340661750892</v>
      </c>
    </row>
    <row r="113" spans="1:19" x14ac:dyDescent="0.2">
      <c r="A113" s="289" t="s">
        <v>285</v>
      </c>
      <c r="B113" s="236" t="s">
        <v>286</v>
      </c>
      <c r="C113" s="310" t="s">
        <v>287</v>
      </c>
      <c r="E113" s="295"/>
      <c r="F113" s="304"/>
      <c r="G113" s="294" t="s">
        <v>288</v>
      </c>
      <c r="H113" s="300" t="e">
        <f t="shared" ref="H113:R113" si="45">H33/H15</f>
        <v>#DIV/0!</v>
      </c>
      <c r="I113" s="300" t="e">
        <f t="shared" si="45"/>
        <v>#DIV/0!</v>
      </c>
      <c r="J113" s="300" t="e">
        <f t="shared" si="45"/>
        <v>#DIV/0!</v>
      </c>
      <c r="K113" s="300">
        <f t="shared" si="45"/>
        <v>0.86353776375468361</v>
      </c>
      <c r="L113" s="300">
        <f t="shared" si="45"/>
        <v>69.762322015334064</v>
      </c>
      <c r="M113" s="300">
        <f t="shared" si="45"/>
        <v>81.705605613587437</v>
      </c>
      <c r="N113" s="300">
        <f t="shared" si="45"/>
        <v>82.504099075527648</v>
      </c>
      <c r="O113" s="300">
        <f t="shared" si="45"/>
        <v>96.26519103069964</v>
      </c>
      <c r="P113" s="300">
        <f t="shared" si="45"/>
        <v>112.36648561614426</v>
      </c>
      <c r="Q113" s="300">
        <f t="shared" si="45"/>
        <v>132.95067212716904</v>
      </c>
      <c r="R113" s="300" t="e">
        <f t="shared" si="45"/>
        <v>#DIV/0!</v>
      </c>
    </row>
    <row r="114" spans="1:19" x14ac:dyDescent="0.2">
      <c r="A114" s="250" t="s">
        <v>289</v>
      </c>
      <c r="B114" s="236" t="s">
        <v>290</v>
      </c>
      <c r="C114" s="310" t="s">
        <v>291</v>
      </c>
      <c r="D114" s="297">
        <v>0.5</v>
      </c>
      <c r="E114" s="297">
        <f>1/3</f>
        <v>0.33333333333333331</v>
      </c>
      <c r="F114" s="304"/>
      <c r="G114" s="252" t="s">
        <v>292</v>
      </c>
      <c r="H114" s="311" t="e">
        <f t="shared" ref="H114:R114" si="46">H27/H4</f>
        <v>#DIV/0!</v>
      </c>
      <c r="I114" s="311" t="e">
        <f t="shared" si="46"/>
        <v>#DIV/0!</v>
      </c>
      <c r="J114" s="311" t="e">
        <f t="shared" si="46"/>
        <v>#DIV/0!</v>
      </c>
      <c r="K114" s="311">
        <f t="shared" si="46"/>
        <v>0.45050064822221614</v>
      </c>
      <c r="L114" s="311">
        <f t="shared" si="46"/>
        <v>0.44686513682149154</v>
      </c>
      <c r="M114" s="311">
        <f t="shared" si="46"/>
        <v>0.46824739019645445</v>
      </c>
      <c r="N114" s="311">
        <f t="shared" si="46"/>
        <v>0.48071225557642272</v>
      </c>
      <c r="O114" s="311">
        <f t="shared" si="46"/>
        <v>0.50410909995090758</v>
      </c>
      <c r="P114" s="311">
        <f t="shared" si="46"/>
        <v>0.52341902732552958</v>
      </c>
      <c r="Q114" s="311">
        <f t="shared" si="46"/>
        <v>0.53628623253260788</v>
      </c>
      <c r="R114" s="311">
        <f t="shared" si="46"/>
        <v>0.55624554252173175</v>
      </c>
    </row>
    <row r="115" spans="1:19" x14ac:dyDescent="0.2">
      <c r="A115" s="312"/>
      <c r="C115" s="312"/>
      <c r="D115" s="313"/>
      <c r="E115" s="314"/>
      <c r="F115" s="304"/>
      <c r="G115" s="244" t="s">
        <v>293</v>
      </c>
      <c r="H115" s="275">
        <f t="shared" ref="H115:R115" si="47">H109</f>
        <v>2011</v>
      </c>
      <c r="I115" s="275">
        <f t="shared" si="47"/>
        <v>2012</v>
      </c>
      <c r="J115" s="275">
        <f t="shared" si="47"/>
        <v>2013</v>
      </c>
      <c r="K115" s="275">
        <f t="shared" si="47"/>
        <v>2014</v>
      </c>
      <c r="L115" s="275">
        <f t="shared" si="47"/>
        <v>2015</v>
      </c>
      <c r="M115" s="275">
        <f t="shared" si="47"/>
        <v>2016</v>
      </c>
      <c r="N115" s="275">
        <f t="shared" si="47"/>
        <v>2017</v>
      </c>
      <c r="O115" s="275">
        <f t="shared" si="47"/>
        <v>2018</v>
      </c>
      <c r="P115" s="275">
        <f t="shared" si="47"/>
        <v>2019</v>
      </c>
      <c r="Q115" s="275">
        <f t="shared" si="47"/>
        <v>2020</v>
      </c>
      <c r="R115" s="275">
        <f t="shared" si="47"/>
        <v>2021</v>
      </c>
    </row>
    <row r="116" spans="1:19" x14ac:dyDescent="0.2">
      <c r="A116" s="250" t="s">
        <v>294</v>
      </c>
      <c r="B116" s="236" t="s">
        <v>295</v>
      </c>
      <c r="C116" s="250" t="s">
        <v>296</v>
      </c>
      <c r="D116" s="315"/>
      <c r="E116" s="297">
        <v>0.05</v>
      </c>
      <c r="G116" s="248" t="s">
        <v>297</v>
      </c>
      <c r="H116" s="299" t="e">
        <f t="shared" ref="H116:R116" si="48">H35/H33</f>
        <v>#DIV/0!</v>
      </c>
      <c r="I116" s="299" t="e">
        <f t="shared" si="48"/>
        <v>#DIV/0!</v>
      </c>
      <c r="J116" s="299" t="e">
        <f t="shared" si="48"/>
        <v>#DIV/0!</v>
      </c>
      <c r="K116" s="299">
        <f t="shared" si="48"/>
        <v>0</v>
      </c>
      <c r="L116" s="299">
        <f t="shared" si="48"/>
        <v>0.15472239230894028</v>
      </c>
      <c r="M116" s="299">
        <f t="shared" si="48"/>
        <v>0.12841500190305169</v>
      </c>
      <c r="N116" s="299">
        <f t="shared" si="48"/>
        <v>6.3425483513602651E-2</v>
      </c>
      <c r="O116" s="299">
        <f t="shared" si="48"/>
        <v>6.9979593950404068E-2</v>
      </c>
      <c r="P116" s="299">
        <f t="shared" si="48"/>
        <v>6.6870067580227691E-2</v>
      </c>
      <c r="Q116" s="299">
        <f t="shared" si="48"/>
        <v>6.3889220385207668E-2</v>
      </c>
      <c r="R116" s="299">
        <f t="shared" si="48"/>
        <v>6.1032558585251404E-2</v>
      </c>
    </row>
    <row r="117" spans="1:19" x14ac:dyDescent="0.2">
      <c r="A117" s="250" t="s">
        <v>298</v>
      </c>
      <c r="B117" s="236" t="s">
        <v>299</v>
      </c>
      <c r="C117" s="250" t="s">
        <v>300</v>
      </c>
      <c r="E117" s="297">
        <v>0.95</v>
      </c>
      <c r="G117" s="252" t="s">
        <v>301</v>
      </c>
      <c r="H117" s="311" t="e">
        <f t="shared" ref="H117:R117" si="49">(H36+H34)/H33</f>
        <v>#DIV/0!</v>
      </c>
      <c r="I117" s="311" t="e">
        <f t="shared" si="49"/>
        <v>#DIV/0!</v>
      </c>
      <c r="J117" s="311" t="e">
        <f t="shared" si="49"/>
        <v>#DIV/0!</v>
      </c>
      <c r="K117" s="311">
        <f t="shared" si="49"/>
        <v>0.98043693385095532</v>
      </c>
      <c r="L117" s="311">
        <f t="shared" si="49"/>
        <v>0.843184232699564</v>
      </c>
      <c r="M117" s="311">
        <f t="shared" si="49"/>
        <v>0.87158499809694823</v>
      </c>
      <c r="N117" s="311">
        <f t="shared" si="49"/>
        <v>0.93657451648639733</v>
      </c>
      <c r="O117" s="311">
        <f t="shared" si="49"/>
        <v>0.9300204060495959</v>
      </c>
      <c r="P117" s="311">
        <f t="shared" si="49"/>
        <v>0.93312993241977227</v>
      </c>
      <c r="Q117" s="311">
        <f t="shared" si="49"/>
        <v>0.93611077961479239</v>
      </c>
      <c r="R117" s="311">
        <f t="shared" si="49"/>
        <v>0.93896744141474864</v>
      </c>
    </row>
    <row r="118" spans="1:19" x14ac:dyDescent="0.2">
      <c r="A118" s="250" t="s">
        <v>302</v>
      </c>
      <c r="B118" s="236" t="s">
        <v>303</v>
      </c>
      <c r="C118" s="250" t="s">
        <v>304</v>
      </c>
      <c r="E118" s="297">
        <v>0.95</v>
      </c>
      <c r="G118" s="294" t="s">
        <v>305</v>
      </c>
      <c r="H118" s="299" t="e">
        <f t="shared" ref="H118:R118" si="50">H38/(H38+H41)</f>
        <v>#DIV/0!</v>
      </c>
      <c r="I118" s="299" t="e">
        <f t="shared" si="50"/>
        <v>#DIV/0!</v>
      </c>
      <c r="J118" s="299" t="e">
        <f t="shared" si="50"/>
        <v>#DIV/0!</v>
      </c>
      <c r="K118" s="299">
        <f t="shared" si="50"/>
        <v>0</v>
      </c>
      <c r="L118" s="299">
        <f t="shared" si="50"/>
        <v>5.0596778460951404E-4</v>
      </c>
      <c r="M118" s="299">
        <f t="shared" si="50"/>
        <v>1.2266676521067888E-3</v>
      </c>
      <c r="N118" s="299">
        <f t="shared" si="50"/>
        <v>1.2724759720332142E-3</v>
      </c>
      <c r="O118" s="299">
        <f t="shared" si="50"/>
        <v>1.2122745486356939E-3</v>
      </c>
      <c r="P118" s="299">
        <f t="shared" si="50"/>
        <v>1.154910833321176E-3</v>
      </c>
      <c r="Q118" s="299">
        <f t="shared" si="50"/>
        <v>1.1002510949545254E-3</v>
      </c>
      <c r="R118" s="299">
        <f t="shared" si="50"/>
        <v>1.0479826105839888E-3</v>
      </c>
    </row>
    <row r="119" spans="1:19" x14ac:dyDescent="0.2">
      <c r="A119" s="312"/>
      <c r="C119" s="313"/>
      <c r="D119" s="313"/>
      <c r="E119" s="314"/>
      <c r="F119" s="304"/>
      <c r="G119" s="244" t="s">
        <v>306</v>
      </c>
      <c r="H119" s="275">
        <f>H115</f>
        <v>2011</v>
      </c>
      <c r="I119" s="275">
        <f t="shared" ref="I119:R119" si="51">I115</f>
        <v>2012</v>
      </c>
      <c r="J119" s="275">
        <f t="shared" si="51"/>
        <v>2013</v>
      </c>
      <c r="K119" s="275">
        <f t="shared" si="51"/>
        <v>2014</v>
      </c>
      <c r="L119" s="275">
        <f t="shared" si="51"/>
        <v>2015</v>
      </c>
      <c r="M119" s="275">
        <f t="shared" si="51"/>
        <v>2016</v>
      </c>
      <c r="N119" s="275">
        <f t="shared" si="51"/>
        <v>2017</v>
      </c>
      <c r="O119" s="275">
        <f t="shared" si="51"/>
        <v>2018</v>
      </c>
      <c r="P119" s="275">
        <f t="shared" si="51"/>
        <v>2019</v>
      </c>
      <c r="Q119" s="275">
        <f t="shared" si="51"/>
        <v>2020</v>
      </c>
      <c r="R119" s="275">
        <f t="shared" si="51"/>
        <v>2021</v>
      </c>
    </row>
    <row r="120" spans="1:19" x14ac:dyDescent="0.2">
      <c r="A120" s="238" t="s">
        <v>307</v>
      </c>
      <c r="B120" s="236" t="s">
        <v>308</v>
      </c>
      <c r="C120" s="250" t="s">
        <v>309</v>
      </c>
      <c r="D120" s="316">
        <v>0.5</v>
      </c>
      <c r="E120" s="317" t="s">
        <v>310</v>
      </c>
      <c r="F120" s="238"/>
      <c r="G120" s="248" t="s">
        <v>311</v>
      </c>
      <c r="H120" s="300" t="e">
        <f t="shared" ref="H120:R120" si="52">IF(H116&lt;$D$120,$E$120,H35/H4)</f>
        <v>#DIV/0!</v>
      </c>
      <c r="I120" s="300" t="e">
        <f t="shared" si="52"/>
        <v>#DIV/0!</v>
      </c>
      <c r="J120" s="300" t="e">
        <f t="shared" si="52"/>
        <v>#DIV/0!</v>
      </c>
      <c r="K120" s="300" t="str">
        <f t="shared" si="52"/>
        <v>N/A</v>
      </c>
      <c r="L120" s="300" t="str">
        <f t="shared" si="52"/>
        <v>N/A</v>
      </c>
      <c r="M120" s="300" t="str">
        <f t="shared" si="52"/>
        <v>N/A</v>
      </c>
      <c r="N120" s="300" t="str">
        <f t="shared" si="52"/>
        <v>N/A</v>
      </c>
      <c r="O120" s="300" t="str">
        <f t="shared" si="52"/>
        <v>N/A</v>
      </c>
      <c r="P120" s="300" t="str">
        <f t="shared" si="52"/>
        <v>N/A</v>
      </c>
      <c r="Q120" s="300" t="str">
        <f t="shared" si="52"/>
        <v>N/A</v>
      </c>
      <c r="R120" s="300" t="str">
        <f t="shared" si="52"/>
        <v>N/A</v>
      </c>
    </row>
    <row r="121" spans="1:19" x14ac:dyDescent="0.2">
      <c r="A121" s="238" t="s">
        <v>312</v>
      </c>
      <c r="B121" s="236" t="s">
        <v>313</v>
      </c>
      <c r="C121" s="250" t="s">
        <v>314</v>
      </c>
      <c r="D121" s="316">
        <v>0.5</v>
      </c>
      <c r="E121" s="317" t="s">
        <v>310</v>
      </c>
      <c r="F121" s="238"/>
      <c r="G121" s="252" t="s">
        <v>315</v>
      </c>
      <c r="H121" s="300" t="e">
        <f t="shared" ref="H121:R121" si="53">IF(H116&lt;$D$121,$E$121,H35/H15)</f>
        <v>#DIV/0!</v>
      </c>
      <c r="I121" s="300" t="e">
        <f t="shared" si="53"/>
        <v>#DIV/0!</v>
      </c>
      <c r="J121" s="300" t="e">
        <f t="shared" si="53"/>
        <v>#DIV/0!</v>
      </c>
      <c r="K121" s="300" t="str">
        <f t="shared" si="53"/>
        <v>N/A</v>
      </c>
      <c r="L121" s="300" t="str">
        <f t="shared" si="53"/>
        <v>N/A</v>
      </c>
      <c r="M121" s="300" t="str">
        <f t="shared" si="53"/>
        <v>N/A</v>
      </c>
      <c r="N121" s="300" t="str">
        <f t="shared" si="53"/>
        <v>N/A</v>
      </c>
      <c r="O121" s="300" t="str">
        <f t="shared" si="53"/>
        <v>N/A</v>
      </c>
      <c r="P121" s="300" t="str">
        <f t="shared" si="53"/>
        <v>N/A</v>
      </c>
      <c r="Q121" s="300" t="str">
        <f t="shared" si="53"/>
        <v>N/A</v>
      </c>
      <c r="R121" s="300" t="str">
        <f t="shared" si="53"/>
        <v>N/A</v>
      </c>
    </row>
    <row r="122" spans="1:19" x14ac:dyDescent="0.2">
      <c r="A122" s="238" t="s">
        <v>316</v>
      </c>
      <c r="B122" s="236" t="s">
        <v>317</v>
      </c>
      <c r="C122" s="250" t="s">
        <v>217</v>
      </c>
      <c r="D122" s="316">
        <v>0.5</v>
      </c>
      <c r="E122" s="317" t="s">
        <v>310</v>
      </c>
      <c r="F122" s="238"/>
      <c r="G122" s="248" t="s">
        <v>318</v>
      </c>
      <c r="H122" s="311" t="e">
        <f t="shared" ref="H122:R122" si="54">IF(H116&lt;$D$122,$E$122,H46/H33)</f>
        <v>#DIV/0!</v>
      </c>
      <c r="I122" s="311" t="e">
        <f t="shared" si="54"/>
        <v>#DIV/0!</v>
      </c>
      <c r="J122" s="311" t="e">
        <f t="shared" si="54"/>
        <v>#DIV/0!</v>
      </c>
      <c r="K122" s="311" t="str">
        <f t="shared" si="54"/>
        <v>N/A</v>
      </c>
      <c r="L122" s="311" t="str">
        <f t="shared" si="54"/>
        <v>N/A</v>
      </c>
      <c r="M122" s="311" t="str">
        <f t="shared" si="54"/>
        <v>N/A</v>
      </c>
      <c r="N122" s="311" t="str">
        <f t="shared" si="54"/>
        <v>N/A</v>
      </c>
      <c r="O122" s="311" t="str">
        <f t="shared" si="54"/>
        <v>N/A</v>
      </c>
      <c r="P122" s="311" t="str">
        <f t="shared" si="54"/>
        <v>N/A</v>
      </c>
      <c r="Q122" s="311" t="str">
        <f t="shared" si="54"/>
        <v>N/A</v>
      </c>
      <c r="R122" s="311" t="str">
        <f t="shared" si="54"/>
        <v>N/A</v>
      </c>
    </row>
    <row r="123" spans="1:19" x14ac:dyDescent="0.2">
      <c r="A123" s="238" t="s">
        <v>319</v>
      </c>
      <c r="B123" s="236" t="s">
        <v>320</v>
      </c>
      <c r="C123" s="250" t="s">
        <v>321</v>
      </c>
      <c r="D123" s="316">
        <v>0.5</v>
      </c>
      <c r="E123" s="317" t="s">
        <v>310</v>
      </c>
      <c r="F123" s="238"/>
      <c r="G123" s="252" t="s">
        <v>322</v>
      </c>
      <c r="H123" s="311" t="e">
        <f t="shared" ref="H123:R123" si="55">IF(H116&lt;$D$122,$E$123,H51/H33)</f>
        <v>#DIV/0!</v>
      </c>
      <c r="I123" s="311" t="e">
        <f t="shared" si="55"/>
        <v>#DIV/0!</v>
      </c>
      <c r="J123" s="311" t="e">
        <f t="shared" si="55"/>
        <v>#DIV/0!</v>
      </c>
      <c r="K123" s="311" t="str">
        <f t="shared" si="55"/>
        <v>N/A</v>
      </c>
      <c r="L123" s="311" t="str">
        <f t="shared" si="55"/>
        <v>N/A</v>
      </c>
      <c r="M123" s="311" t="str">
        <f t="shared" si="55"/>
        <v>N/A</v>
      </c>
      <c r="N123" s="311" t="str">
        <f t="shared" si="55"/>
        <v>N/A</v>
      </c>
      <c r="O123" s="311" t="str">
        <f t="shared" si="55"/>
        <v>N/A</v>
      </c>
      <c r="P123" s="311" t="str">
        <f t="shared" si="55"/>
        <v>N/A</v>
      </c>
      <c r="Q123" s="311" t="str">
        <f t="shared" si="55"/>
        <v>N/A</v>
      </c>
      <c r="R123" s="311" t="str">
        <f t="shared" si="55"/>
        <v>N/A</v>
      </c>
    </row>
    <row r="124" spans="1:19" x14ac:dyDescent="0.2">
      <c r="A124" s="238" t="s">
        <v>323</v>
      </c>
      <c r="B124" s="236" t="s">
        <v>324</v>
      </c>
      <c r="C124" s="250" t="s">
        <v>325</v>
      </c>
      <c r="D124" s="316">
        <v>0.5</v>
      </c>
      <c r="E124" s="317" t="s">
        <v>310</v>
      </c>
      <c r="F124" s="238"/>
      <c r="G124" s="252" t="s">
        <v>326</v>
      </c>
      <c r="H124" s="311" t="e">
        <f t="shared" ref="H124:R124" si="56">IF(H116&lt;$D$124,$E$124,H51/H4)</f>
        <v>#DIV/0!</v>
      </c>
      <c r="I124" s="311" t="e">
        <f t="shared" si="56"/>
        <v>#DIV/0!</v>
      </c>
      <c r="J124" s="311" t="e">
        <f t="shared" si="56"/>
        <v>#DIV/0!</v>
      </c>
      <c r="K124" s="311" t="str">
        <f t="shared" si="56"/>
        <v>N/A</v>
      </c>
      <c r="L124" s="311" t="str">
        <f t="shared" si="56"/>
        <v>N/A</v>
      </c>
      <c r="M124" s="311" t="str">
        <f t="shared" si="56"/>
        <v>N/A</v>
      </c>
      <c r="N124" s="311" t="str">
        <f t="shared" si="56"/>
        <v>N/A</v>
      </c>
      <c r="O124" s="311" t="str">
        <f t="shared" si="56"/>
        <v>N/A</v>
      </c>
      <c r="P124" s="311" t="str">
        <f t="shared" si="56"/>
        <v>N/A</v>
      </c>
      <c r="Q124" s="311" t="str">
        <f t="shared" si="56"/>
        <v>N/A</v>
      </c>
      <c r="R124" s="311" t="str">
        <f t="shared" si="56"/>
        <v>N/A</v>
      </c>
    </row>
    <row r="125" spans="1:19" x14ac:dyDescent="0.2">
      <c r="A125" s="238" t="s">
        <v>327</v>
      </c>
      <c r="B125" s="236" t="s">
        <v>328</v>
      </c>
      <c r="C125" s="250" t="s">
        <v>329</v>
      </c>
      <c r="D125" s="316">
        <v>0.5</v>
      </c>
      <c r="E125" s="317" t="s">
        <v>310</v>
      </c>
      <c r="F125" s="238"/>
      <c r="G125" s="294" t="s">
        <v>330</v>
      </c>
      <c r="H125" s="311" t="e">
        <f t="shared" ref="H125:R125" si="57">IF(H116&lt;$D$125,$E$125,H51/H27)</f>
        <v>#DIV/0!</v>
      </c>
      <c r="I125" s="311" t="e">
        <f t="shared" si="57"/>
        <v>#DIV/0!</v>
      </c>
      <c r="J125" s="311" t="e">
        <f t="shared" si="57"/>
        <v>#DIV/0!</v>
      </c>
      <c r="K125" s="311" t="str">
        <f t="shared" si="57"/>
        <v>N/A</v>
      </c>
      <c r="L125" s="311" t="str">
        <f t="shared" si="57"/>
        <v>N/A</v>
      </c>
      <c r="M125" s="311" t="str">
        <f t="shared" si="57"/>
        <v>N/A</v>
      </c>
      <c r="N125" s="311" t="str">
        <f t="shared" si="57"/>
        <v>N/A</v>
      </c>
      <c r="O125" s="311" t="str">
        <f t="shared" si="57"/>
        <v>N/A</v>
      </c>
      <c r="P125" s="311" t="str">
        <f t="shared" si="57"/>
        <v>N/A</v>
      </c>
      <c r="Q125" s="311" t="str">
        <f t="shared" si="57"/>
        <v>N/A</v>
      </c>
      <c r="R125" s="311" t="str">
        <f t="shared" si="57"/>
        <v>N/A</v>
      </c>
    </row>
    <row r="126" spans="1:19" x14ac:dyDescent="0.2">
      <c r="C126" s="313"/>
      <c r="D126" s="313"/>
      <c r="E126" s="314"/>
      <c r="F126" s="238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</row>
    <row r="127" spans="1:19" x14ac:dyDescent="0.2">
      <c r="F127" s="238"/>
      <c r="H127" s="275">
        <f>H119</f>
        <v>2011</v>
      </c>
      <c r="I127" s="275">
        <f t="shared" ref="I127:R127" si="58">I119</f>
        <v>2012</v>
      </c>
      <c r="J127" s="275">
        <f t="shared" si="58"/>
        <v>2013</v>
      </c>
      <c r="K127" s="275">
        <f t="shared" si="58"/>
        <v>2014</v>
      </c>
      <c r="L127" s="275">
        <f t="shared" si="58"/>
        <v>2015</v>
      </c>
      <c r="M127" s="275">
        <f t="shared" si="58"/>
        <v>2016</v>
      </c>
      <c r="N127" s="275">
        <f t="shared" si="58"/>
        <v>2017</v>
      </c>
      <c r="O127" s="275">
        <f t="shared" si="58"/>
        <v>2018</v>
      </c>
      <c r="P127" s="275">
        <f t="shared" si="58"/>
        <v>2019</v>
      </c>
      <c r="Q127" s="275">
        <f t="shared" si="58"/>
        <v>2020</v>
      </c>
      <c r="R127" s="275">
        <f t="shared" si="58"/>
        <v>2021</v>
      </c>
    </row>
    <row r="128" spans="1:19" x14ac:dyDescent="0.2">
      <c r="G128" s="318" t="s">
        <v>331</v>
      </c>
      <c r="H128" s="319">
        <f t="shared" ref="H128:R128" si="59">H33</f>
        <v>0</v>
      </c>
      <c r="I128" s="319">
        <f t="shared" si="59"/>
        <v>0</v>
      </c>
      <c r="J128" s="319">
        <f t="shared" si="59"/>
        <v>0</v>
      </c>
      <c r="K128" s="319">
        <f t="shared" si="59"/>
        <v>13.137</v>
      </c>
      <c r="L128" s="319">
        <f t="shared" si="59"/>
        <v>955.39499999999998</v>
      </c>
      <c r="M128" s="319">
        <f t="shared" si="59"/>
        <v>1024.67</v>
      </c>
      <c r="N128" s="319">
        <f t="shared" si="59"/>
        <v>945.99199999999996</v>
      </c>
      <c r="O128" s="319">
        <f t="shared" si="59"/>
        <v>1000.2916</v>
      </c>
      <c r="P128" s="319">
        <f t="shared" si="59"/>
        <v>1046.80618</v>
      </c>
      <c r="Q128" s="319">
        <f t="shared" si="59"/>
        <v>1095.646489</v>
      </c>
      <c r="R128" s="319">
        <f t="shared" si="59"/>
        <v>1146.92881345</v>
      </c>
    </row>
    <row r="129" spans="3:19" x14ac:dyDescent="0.2">
      <c r="G129" s="318" t="s">
        <v>332</v>
      </c>
      <c r="H129" s="319">
        <f t="shared" ref="H129:R130" si="60">H35</f>
        <v>0</v>
      </c>
      <c r="I129" s="319">
        <f t="shared" si="60"/>
        <v>0</v>
      </c>
      <c r="J129" s="319">
        <f t="shared" si="60"/>
        <v>0</v>
      </c>
      <c r="K129" s="319">
        <f t="shared" si="60"/>
        <v>0</v>
      </c>
      <c r="L129" s="319">
        <f t="shared" si="60"/>
        <v>147.821</v>
      </c>
      <c r="M129" s="319">
        <f t="shared" si="60"/>
        <v>131.583</v>
      </c>
      <c r="N129" s="319">
        <f t="shared" si="60"/>
        <v>60</v>
      </c>
      <c r="O129" s="319">
        <f t="shared" si="60"/>
        <v>70</v>
      </c>
      <c r="P129" s="319">
        <f t="shared" si="60"/>
        <v>70</v>
      </c>
      <c r="Q129" s="319">
        <f t="shared" si="60"/>
        <v>70</v>
      </c>
      <c r="R129" s="319">
        <f t="shared" si="60"/>
        <v>70</v>
      </c>
    </row>
    <row r="130" spans="3:19" x14ac:dyDescent="0.2">
      <c r="G130" s="318" t="s">
        <v>333</v>
      </c>
      <c r="H130" s="319">
        <f t="shared" si="60"/>
        <v>0</v>
      </c>
      <c r="I130" s="319">
        <f t="shared" si="60"/>
        <v>0</v>
      </c>
      <c r="J130" s="319">
        <f t="shared" si="60"/>
        <v>0</v>
      </c>
      <c r="K130" s="319">
        <f t="shared" si="60"/>
        <v>12.88</v>
      </c>
      <c r="L130" s="319">
        <f t="shared" si="60"/>
        <v>805.57399999999996</v>
      </c>
      <c r="M130" s="319">
        <f t="shared" si="60"/>
        <v>893.08699999999999</v>
      </c>
      <c r="N130" s="319">
        <f t="shared" si="60"/>
        <v>885.99199999999996</v>
      </c>
      <c r="O130" s="319">
        <f t="shared" si="60"/>
        <v>930.29160000000002</v>
      </c>
      <c r="P130" s="319">
        <f t="shared" si="60"/>
        <v>976.80618000000004</v>
      </c>
      <c r="Q130" s="319">
        <f t="shared" si="60"/>
        <v>1025.646489</v>
      </c>
      <c r="R130" s="319">
        <f t="shared" si="60"/>
        <v>1076.92881345</v>
      </c>
    </row>
    <row r="131" spans="3:19" x14ac:dyDescent="0.2">
      <c r="G131" s="318" t="s">
        <v>334</v>
      </c>
      <c r="H131" s="319">
        <f t="shared" ref="H131:R131" si="61">H38+H41</f>
        <v>0</v>
      </c>
      <c r="I131" s="319">
        <f t="shared" si="61"/>
        <v>0</v>
      </c>
      <c r="J131" s="319">
        <f t="shared" si="61"/>
        <v>0</v>
      </c>
      <c r="K131" s="319">
        <f t="shared" si="61"/>
        <v>-0.96599999999999997</v>
      </c>
      <c r="L131" s="319">
        <f t="shared" si="61"/>
        <v>-948.67700000000013</v>
      </c>
      <c r="M131" s="319">
        <f t="shared" si="61"/>
        <v>-974.1840000000002</v>
      </c>
      <c r="N131" s="319">
        <f t="shared" si="61"/>
        <v>-939.11400000000015</v>
      </c>
      <c r="O131" s="319">
        <f t="shared" si="61"/>
        <v>-985.75030000000015</v>
      </c>
      <c r="P131" s="319">
        <f t="shared" si="61"/>
        <v>-1034.7119150000001</v>
      </c>
      <c r="Q131" s="319">
        <f t="shared" si="61"/>
        <v>-1086.1157107500001</v>
      </c>
      <c r="R131" s="319">
        <f t="shared" si="61"/>
        <v>-1140.2860962875002</v>
      </c>
    </row>
    <row r="132" spans="3:19" x14ac:dyDescent="0.2">
      <c r="G132" s="318" t="s">
        <v>335</v>
      </c>
      <c r="H132" s="319">
        <f t="shared" ref="H132:R132" si="62">H41</f>
        <v>0</v>
      </c>
      <c r="I132" s="319">
        <f t="shared" si="62"/>
        <v>0</v>
      </c>
      <c r="J132" s="319">
        <f t="shared" si="62"/>
        <v>0</v>
      </c>
      <c r="K132" s="319">
        <f t="shared" si="62"/>
        <v>-0.96599999999999997</v>
      </c>
      <c r="L132" s="319">
        <f t="shared" si="62"/>
        <v>-948.19700000000012</v>
      </c>
      <c r="M132" s="319">
        <f t="shared" si="62"/>
        <v>-972.98900000000015</v>
      </c>
      <c r="N132" s="319">
        <f t="shared" si="62"/>
        <v>-937.9190000000001</v>
      </c>
      <c r="O132" s="319">
        <f t="shared" si="62"/>
        <v>-984.5553000000001</v>
      </c>
      <c r="P132" s="319">
        <f t="shared" si="62"/>
        <v>-1033.5169150000002</v>
      </c>
      <c r="Q132" s="319">
        <f t="shared" si="62"/>
        <v>-1084.9207107500001</v>
      </c>
      <c r="R132" s="319">
        <f t="shared" si="62"/>
        <v>-1139.0910962875002</v>
      </c>
    </row>
    <row r="133" spans="3:19" x14ac:dyDescent="0.2">
      <c r="G133" s="318" t="s">
        <v>336</v>
      </c>
      <c r="H133" s="319">
        <f t="shared" ref="H133:R133" si="63">H38</f>
        <v>0</v>
      </c>
      <c r="I133" s="319">
        <f t="shared" si="63"/>
        <v>0</v>
      </c>
      <c r="J133" s="319">
        <f t="shared" si="63"/>
        <v>0</v>
      </c>
      <c r="K133" s="319">
        <f t="shared" si="63"/>
        <v>0</v>
      </c>
      <c r="L133" s="319">
        <f t="shared" si="63"/>
        <v>-0.48</v>
      </c>
      <c r="M133" s="319">
        <f t="shared" si="63"/>
        <v>-1.1950000000000001</v>
      </c>
      <c r="N133" s="319">
        <f t="shared" si="63"/>
        <v>-1.1950000000000001</v>
      </c>
      <c r="O133" s="319">
        <f t="shared" si="63"/>
        <v>-1.1950000000000001</v>
      </c>
      <c r="P133" s="319">
        <f t="shared" si="63"/>
        <v>-1.1950000000000001</v>
      </c>
      <c r="Q133" s="319">
        <f t="shared" si="63"/>
        <v>-1.1950000000000001</v>
      </c>
      <c r="R133" s="319">
        <f t="shared" si="63"/>
        <v>-1.1950000000000001</v>
      </c>
    </row>
    <row r="134" spans="3:19" x14ac:dyDescent="0.2">
      <c r="G134" s="318" t="s">
        <v>337</v>
      </c>
      <c r="H134" s="319">
        <f t="shared" ref="H134:R134" si="64">H46</f>
        <v>0</v>
      </c>
      <c r="I134" s="319">
        <f t="shared" si="64"/>
        <v>0</v>
      </c>
      <c r="J134" s="319">
        <f t="shared" si="64"/>
        <v>0</v>
      </c>
      <c r="K134" s="319">
        <f t="shared" si="64"/>
        <v>12.171000000000001</v>
      </c>
      <c r="L134" s="319">
        <f t="shared" si="64"/>
        <v>6.7179999999998472</v>
      </c>
      <c r="M134" s="319">
        <f t="shared" si="64"/>
        <v>50.485999999999876</v>
      </c>
      <c r="N134" s="319">
        <f t="shared" si="64"/>
        <v>6.8779999999998154</v>
      </c>
      <c r="O134" s="319">
        <f t="shared" si="64"/>
        <v>14.541299999999865</v>
      </c>
      <c r="P134" s="319">
        <f t="shared" si="64"/>
        <v>12.09426499999995</v>
      </c>
      <c r="Q134" s="319">
        <f t="shared" si="64"/>
        <v>9.5307782499999121</v>
      </c>
      <c r="R134" s="319">
        <f t="shared" si="64"/>
        <v>6.6427171624998209</v>
      </c>
    </row>
    <row r="135" spans="3:19" x14ac:dyDescent="0.2">
      <c r="G135" s="318" t="s">
        <v>338</v>
      </c>
      <c r="H135" s="319">
        <f t="shared" ref="H135:R135" si="65">H51</f>
        <v>0</v>
      </c>
      <c r="I135" s="319">
        <f t="shared" si="65"/>
        <v>0</v>
      </c>
      <c r="J135" s="319">
        <f t="shared" si="65"/>
        <v>0</v>
      </c>
      <c r="K135" s="319">
        <f t="shared" si="65"/>
        <v>12.171000000000001</v>
      </c>
      <c r="L135" s="319">
        <f t="shared" si="65"/>
        <v>6.8739999999998469</v>
      </c>
      <c r="M135" s="319">
        <f t="shared" si="65"/>
        <v>50.485999999999876</v>
      </c>
      <c r="N135" s="319">
        <f t="shared" si="65"/>
        <v>6.8779999999998154</v>
      </c>
      <c r="O135" s="319">
        <f t="shared" si="65"/>
        <v>14.541299999999865</v>
      </c>
      <c r="P135" s="319">
        <f t="shared" si="65"/>
        <v>12.09426499999995</v>
      </c>
      <c r="Q135" s="319">
        <f t="shared" si="65"/>
        <v>9.5307782499999121</v>
      </c>
      <c r="R135" s="319">
        <f t="shared" si="65"/>
        <v>6.6427171624998209</v>
      </c>
    </row>
    <row r="136" spans="3:19" x14ac:dyDescent="0.2">
      <c r="G136" s="318" t="s">
        <v>339</v>
      </c>
      <c r="H136" s="319">
        <f t="shared" ref="H136:R137" si="66">H4</f>
        <v>0</v>
      </c>
      <c r="I136" s="319">
        <f t="shared" si="66"/>
        <v>0</v>
      </c>
      <c r="J136" s="319">
        <f t="shared" si="66"/>
        <v>0</v>
      </c>
      <c r="K136" s="319">
        <f t="shared" si="66"/>
        <v>72.506</v>
      </c>
      <c r="L136" s="319">
        <f t="shared" si="66"/>
        <v>192.00199999999998</v>
      </c>
      <c r="M136" s="319">
        <f t="shared" si="66"/>
        <v>291.976</v>
      </c>
      <c r="N136" s="319">
        <f t="shared" si="66"/>
        <v>298.71300000000002</v>
      </c>
      <c r="O136" s="319">
        <f t="shared" si="66"/>
        <v>313.69400000000002</v>
      </c>
      <c r="P136" s="319">
        <f t="shared" si="66"/>
        <v>325.22699999999998</v>
      </c>
      <c r="Q136" s="319">
        <f t="shared" si="66"/>
        <v>335.19599999999997</v>
      </c>
      <c r="R136" s="319">
        <f t="shared" si="66"/>
        <v>335.11099999999993</v>
      </c>
    </row>
    <row r="137" spans="3:19" x14ac:dyDescent="0.2">
      <c r="G137" s="318" t="s">
        <v>340</v>
      </c>
      <c r="H137" s="319">
        <f t="shared" si="66"/>
        <v>0</v>
      </c>
      <c r="I137" s="319">
        <f t="shared" si="66"/>
        <v>0</v>
      </c>
      <c r="J137" s="319">
        <f t="shared" si="66"/>
        <v>0</v>
      </c>
      <c r="K137" s="319">
        <f t="shared" si="66"/>
        <v>57.292999999999999</v>
      </c>
      <c r="L137" s="319">
        <f t="shared" si="66"/>
        <v>178.30699999999999</v>
      </c>
      <c r="M137" s="319">
        <f t="shared" si="66"/>
        <v>279.435</v>
      </c>
      <c r="N137" s="319">
        <f t="shared" si="66"/>
        <v>287.24700000000001</v>
      </c>
      <c r="O137" s="319">
        <f t="shared" si="66"/>
        <v>303.303</v>
      </c>
      <c r="P137" s="319">
        <f t="shared" si="66"/>
        <v>315.911</v>
      </c>
      <c r="Q137" s="319">
        <f t="shared" si="66"/>
        <v>326.95499999999998</v>
      </c>
      <c r="R137" s="319">
        <f t="shared" si="66"/>
        <v>335.11099999999993</v>
      </c>
    </row>
    <row r="138" spans="3:19" x14ac:dyDescent="0.2">
      <c r="G138" s="318" t="s">
        <v>341</v>
      </c>
      <c r="H138" s="319">
        <f t="shared" ref="H138:R138" si="67">H10</f>
        <v>0</v>
      </c>
      <c r="I138" s="319">
        <f t="shared" si="67"/>
        <v>0</v>
      </c>
      <c r="J138" s="319">
        <f t="shared" si="67"/>
        <v>0</v>
      </c>
      <c r="K138" s="319">
        <f t="shared" si="67"/>
        <v>15.212999999999999</v>
      </c>
      <c r="L138" s="319">
        <f t="shared" si="67"/>
        <v>13.695</v>
      </c>
      <c r="M138" s="319">
        <f t="shared" si="67"/>
        <v>12.541</v>
      </c>
      <c r="N138" s="319">
        <f t="shared" si="67"/>
        <v>11.465999999999999</v>
      </c>
      <c r="O138" s="319">
        <f t="shared" si="67"/>
        <v>10.391</v>
      </c>
      <c r="P138" s="319">
        <f t="shared" si="67"/>
        <v>9.3160000000000007</v>
      </c>
      <c r="Q138" s="319">
        <f t="shared" si="67"/>
        <v>8.2409999999999997</v>
      </c>
      <c r="R138" s="319">
        <f t="shared" si="67"/>
        <v>0</v>
      </c>
    </row>
    <row r="139" spans="3:19" x14ac:dyDescent="0.2">
      <c r="G139" s="318" t="s">
        <v>342</v>
      </c>
      <c r="H139" s="319">
        <f t="shared" ref="H139:R140" si="68">H19</f>
        <v>0</v>
      </c>
      <c r="I139" s="319">
        <f t="shared" si="68"/>
        <v>0</v>
      </c>
      <c r="J139" s="319">
        <f t="shared" si="68"/>
        <v>0</v>
      </c>
      <c r="K139" s="319">
        <f t="shared" si="68"/>
        <v>39.841999999999999</v>
      </c>
      <c r="L139" s="319">
        <f t="shared" si="68"/>
        <v>106.20399999999999</v>
      </c>
      <c r="M139" s="319">
        <f t="shared" si="68"/>
        <v>155.25899999999999</v>
      </c>
      <c r="N139" s="319">
        <f t="shared" si="68"/>
        <v>155.11799999999999</v>
      </c>
      <c r="O139" s="319">
        <f t="shared" si="68"/>
        <v>155.55799999999999</v>
      </c>
      <c r="P139" s="319">
        <f t="shared" si="68"/>
        <v>154.99700000000001</v>
      </c>
      <c r="Q139" s="319">
        <f t="shared" si="68"/>
        <v>155.435</v>
      </c>
      <c r="R139" s="319">
        <f t="shared" si="68"/>
        <v>148.70699999999999</v>
      </c>
    </row>
    <row r="140" spans="3:19" x14ac:dyDescent="0.2">
      <c r="G140" s="318" t="s">
        <v>343</v>
      </c>
      <c r="H140" s="319">
        <f t="shared" si="68"/>
        <v>0</v>
      </c>
      <c r="I140" s="319">
        <f t="shared" si="68"/>
        <v>0</v>
      </c>
      <c r="J140" s="319">
        <f t="shared" si="68"/>
        <v>0</v>
      </c>
      <c r="K140" s="319">
        <f t="shared" si="68"/>
        <v>39.841999999999999</v>
      </c>
      <c r="L140" s="319">
        <f t="shared" si="68"/>
        <v>106.20399999999999</v>
      </c>
      <c r="M140" s="319">
        <f t="shared" si="68"/>
        <v>155</v>
      </c>
      <c r="N140" s="319">
        <f t="shared" si="68"/>
        <v>0</v>
      </c>
      <c r="O140" s="319">
        <f t="shared" si="68"/>
        <v>0</v>
      </c>
      <c r="P140" s="319">
        <f t="shared" si="68"/>
        <v>0</v>
      </c>
      <c r="Q140" s="319">
        <f t="shared" si="68"/>
        <v>0</v>
      </c>
      <c r="R140" s="319">
        <f t="shared" si="68"/>
        <v>0</v>
      </c>
    </row>
    <row r="141" spans="3:19" x14ac:dyDescent="0.2">
      <c r="G141" s="318" t="s">
        <v>344</v>
      </c>
      <c r="H141" s="319">
        <f t="shared" ref="H141:R141" si="69">H24</f>
        <v>0</v>
      </c>
      <c r="I141" s="319">
        <f t="shared" si="69"/>
        <v>0</v>
      </c>
      <c r="J141" s="319">
        <f t="shared" si="69"/>
        <v>0</v>
      </c>
      <c r="K141" s="319">
        <f t="shared" si="69"/>
        <v>0</v>
      </c>
      <c r="L141" s="319">
        <f t="shared" si="69"/>
        <v>0</v>
      </c>
      <c r="M141" s="319">
        <f t="shared" si="69"/>
        <v>0</v>
      </c>
      <c r="N141" s="319">
        <f t="shared" si="69"/>
        <v>0</v>
      </c>
      <c r="O141" s="319">
        <f t="shared" si="69"/>
        <v>0</v>
      </c>
      <c r="P141" s="319">
        <f t="shared" si="69"/>
        <v>0</v>
      </c>
      <c r="Q141" s="319">
        <f t="shared" si="69"/>
        <v>0</v>
      </c>
      <c r="R141" s="319">
        <f t="shared" si="69"/>
        <v>0</v>
      </c>
    </row>
    <row r="142" spans="3:19" x14ac:dyDescent="0.2">
      <c r="G142" s="318" t="s">
        <v>345</v>
      </c>
      <c r="H142" s="319">
        <f t="shared" ref="H142:R142" si="70">H27</f>
        <v>0</v>
      </c>
      <c r="I142" s="319">
        <f t="shared" si="70"/>
        <v>0</v>
      </c>
      <c r="J142" s="319">
        <f t="shared" si="70"/>
        <v>0</v>
      </c>
      <c r="K142" s="319">
        <f t="shared" si="70"/>
        <v>32.664000000000001</v>
      </c>
      <c r="L142" s="319">
        <f t="shared" si="70"/>
        <v>85.799000000000007</v>
      </c>
      <c r="M142" s="319">
        <f t="shared" si="70"/>
        <v>136.71699999999998</v>
      </c>
      <c r="N142" s="319">
        <f t="shared" si="70"/>
        <v>143.59499999999997</v>
      </c>
      <c r="O142" s="319">
        <f t="shared" si="70"/>
        <v>158.136</v>
      </c>
      <c r="P142" s="319">
        <f t="shared" si="70"/>
        <v>170.23</v>
      </c>
      <c r="Q142" s="319">
        <f t="shared" si="70"/>
        <v>179.761</v>
      </c>
      <c r="R142" s="319">
        <f t="shared" si="70"/>
        <v>186.404</v>
      </c>
    </row>
    <row r="143" spans="3:19" x14ac:dyDescent="0.2">
      <c r="C143" s="313"/>
      <c r="D143" s="313"/>
      <c r="E143" s="314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</row>
    <row r="144" spans="3:19" x14ac:dyDescent="0.2">
      <c r="C144" s="250" t="s">
        <v>346</v>
      </c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</row>
    <row r="145" spans="3:18" x14ac:dyDescent="0.2">
      <c r="C145" s="250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3:18" x14ac:dyDescent="0.2">
      <c r="C146" s="250" t="s">
        <v>347</v>
      </c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</row>
    <row r="147" spans="3:18" x14ac:dyDescent="0.2">
      <c r="C147" s="250" t="s">
        <v>348</v>
      </c>
      <c r="F147" s="256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</row>
    <row r="148" spans="3:18" x14ac:dyDescent="0.2">
      <c r="C148" s="250"/>
      <c r="F148" s="256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</row>
    <row r="149" spans="3:18" x14ac:dyDescent="0.2">
      <c r="C149" s="250" t="s">
        <v>349</v>
      </c>
      <c r="F149" s="256"/>
    </row>
    <row r="150" spans="3:18" x14ac:dyDescent="0.2">
      <c r="C150" s="250" t="s">
        <v>350</v>
      </c>
      <c r="F150" s="256"/>
    </row>
  </sheetData>
  <mergeCells count="3">
    <mergeCell ref="K2:L2"/>
    <mergeCell ref="M2:R2"/>
    <mergeCell ref="D87:E87"/>
  </mergeCells>
  <conditionalFormatting sqref="H116:J116 M116:Q116">
    <cfRule type="cellIs" dxfId="1478" priority="80" stopIfTrue="1" operator="greaterThan">
      <formula>$E$116</formula>
    </cfRule>
    <cfRule type="cellIs" dxfId="1477" priority="81" stopIfTrue="1" operator="lessThanOrEqual">
      <formula>$E$116</formula>
    </cfRule>
  </conditionalFormatting>
  <conditionalFormatting sqref="H118:J118 M118:Q118">
    <cfRule type="cellIs" dxfId="1476" priority="78" stopIfTrue="1" operator="lessThanOrEqual">
      <formula>$E$118</formula>
    </cfRule>
    <cfRule type="cellIs" dxfId="1475" priority="79" stopIfTrue="1" operator="greaterThan">
      <formula>$E$118</formula>
    </cfRule>
  </conditionalFormatting>
  <conditionalFormatting sqref="H99:J99 M99:Q99">
    <cfRule type="cellIs" dxfId="1474" priority="76" operator="greaterThan">
      <formula>$E$99</formula>
    </cfRule>
    <cfRule type="cellIs" dxfId="1473" priority="77" operator="lessThanOrEqual">
      <formula>$E$99</formula>
    </cfRule>
  </conditionalFormatting>
  <conditionalFormatting sqref="H102:J102 M102:Q102">
    <cfRule type="cellIs" dxfId="1472" priority="74" stopIfTrue="1" operator="greaterThanOrEqual">
      <formula>$E$102</formula>
    </cfRule>
    <cfRule type="cellIs" dxfId="1471" priority="75" stopIfTrue="1" operator="lessThan">
      <formula>$E$102</formula>
    </cfRule>
  </conditionalFormatting>
  <conditionalFormatting sqref="H104:J104 M104:Q104">
    <cfRule type="cellIs" dxfId="1470" priority="72" stopIfTrue="1" operator="lessThan">
      <formula>$E$104</formula>
    </cfRule>
    <cfRule type="cellIs" dxfId="1469" priority="73" stopIfTrue="1" operator="greaterThanOrEqual">
      <formula>$E$104</formula>
    </cfRule>
  </conditionalFormatting>
  <conditionalFormatting sqref="H103:J103 M103:Q103">
    <cfRule type="cellIs" dxfId="1468" priority="70" stopIfTrue="1" operator="greaterThan">
      <formula>$E$103</formula>
    </cfRule>
    <cfRule type="cellIs" dxfId="1467" priority="71" stopIfTrue="1" operator="lessThanOrEqual">
      <formula>$E$103</formula>
    </cfRule>
  </conditionalFormatting>
  <conditionalFormatting sqref="H100:J100 M100:Q100">
    <cfRule type="cellIs" dxfId="1466" priority="59" stopIfTrue="1" operator="between">
      <formula>$D$100</formula>
      <formula>$E$100</formula>
    </cfRule>
    <cfRule type="cellIs" dxfId="1465" priority="68" stopIfTrue="1" operator="lessThanOrEqual">
      <formula>$D$100</formula>
    </cfRule>
    <cfRule type="cellIs" dxfId="1464" priority="69" stopIfTrue="1" operator="greaterThan">
      <formula>$E$100</formula>
    </cfRule>
  </conditionalFormatting>
  <conditionalFormatting sqref="H117:J117 M117:Q117">
    <cfRule type="cellIs" dxfId="1463" priority="66" stopIfTrue="1" operator="greaterThan">
      <formula>$E$117</formula>
    </cfRule>
    <cfRule type="cellIs" dxfId="1462" priority="67" stopIfTrue="1" operator="lessThanOrEqual">
      <formula>$E$117</formula>
    </cfRule>
  </conditionalFormatting>
  <conditionalFormatting sqref="H107:J107 M107:Q107">
    <cfRule type="cellIs" dxfId="1461" priority="64" stopIfTrue="1" operator="greaterThan">
      <formula>$E$107</formula>
    </cfRule>
    <cfRule type="cellIs" dxfId="1460" priority="65" stopIfTrue="1" operator="lessThanOrEqual">
      <formula>$E$107</formula>
    </cfRule>
  </conditionalFormatting>
  <conditionalFormatting sqref="H108:J108 M108:Q108">
    <cfRule type="cellIs" dxfId="1459" priority="62" stopIfTrue="1" operator="lessThan">
      <formula>$E$108</formula>
    </cfRule>
    <cfRule type="cellIs" dxfId="1458" priority="63" stopIfTrue="1" operator="greaterThanOrEqual">
      <formula>$E$108</formula>
    </cfRule>
  </conditionalFormatting>
  <conditionalFormatting sqref="H93:J93 M93:Q93">
    <cfRule type="cellIs" dxfId="1457" priority="82" stopIfTrue="1" operator="lessThan">
      <formula>$D$93</formula>
    </cfRule>
    <cfRule type="cellIs" dxfId="1456" priority="83" stopIfTrue="1" operator="between">
      <formula>$D$93</formula>
      <formula>$E$93</formula>
    </cfRule>
    <cfRule type="cellIs" dxfId="1455" priority="84" stopIfTrue="1" operator="greaterThan">
      <formula>$E$93</formula>
    </cfRule>
  </conditionalFormatting>
  <conditionalFormatting sqref="H114:J114 M114:Q114">
    <cfRule type="cellIs" dxfId="1454" priority="85" stopIfTrue="1" operator="lessThan">
      <formula>$E$114</formula>
    </cfRule>
    <cfRule type="cellIs" dxfId="1453" priority="86" stopIfTrue="1" operator="between">
      <formula>$D$114</formula>
      <formula>$E$114</formula>
    </cfRule>
    <cfRule type="cellIs" dxfId="1452" priority="87" stopIfTrue="1" operator="greaterThanOrEqual">
      <formula>$D$114</formula>
    </cfRule>
  </conditionalFormatting>
  <conditionalFormatting sqref="H90:J90 M90:Q90">
    <cfRule type="cellIs" dxfId="1451" priority="60" stopIfTrue="1" operator="lessThan">
      <formula>$E$90</formula>
    </cfRule>
    <cfRule type="cellIs" dxfId="1450" priority="61" stopIfTrue="1" operator="greaterThan">
      <formula>$E$90</formula>
    </cfRule>
  </conditionalFormatting>
  <conditionalFormatting sqref="R116">
    <cfRule type="cellIs" dxfId="1449" priority="51" stopIfTrue="1" operator="greaterThan">
      <formula>$E$116</formula>
    </cfRule>
    <cfRule type="cellIs" dxfId="1448" priority="52" stopIfTrue="1" operator="lessThanOrEqual">
      <formula>$E$116</formula>
    </cfRule>
  </conditionalFormatting>
  <conditionalFormatting sqref="R118">
    <cfRule type="cellIs" dxfId="1447" priority="49" stopIfTrue="1" operator="lessThanOrEqual">
      <formula>$E$118</formula>
    </cfRule>
    <cfRule type="cellIs" dxfId="1446" priority="50" stopIfTrue="1" operator="greaterThan">
      <formula>$E$118</formula>
    </cfRule>
  </conditionalFormatting>
  <conditionalFormatting sqref="R99">
    <cfRule type="cellIs" dxfId="1445" priority="47" operator="greaterThan">
      <formula>$E$99</formula>
    </cfRule>
    <cfRule type="cellIs" dxfId="1444" priority="48" operator="lessThanOrEqual">
      <formula>$E$99</formula>
    </cfRule>
  </conditionalFormatting>
  <conditionalFormatting sqref="R102">
    <cfRule type="cellIs" dxfId="1443" priority="45" stopIfTrue="1" operator="greaterThanOrEqual">
      <formula>$E$102</formula>
    </cfRule>
    <cfRule type="cellIs" dxfId="1442" priority="46" stopIfTrue="1" operator="lessThan">
      <formula>$E$102</formula>
    </cfRule>
  </conditionalFormatting>
  <conditionalFormatting sqref="R104">
    <cfRule type="cellIs" dxfId="1441" priority="43" stopIfTrue="1" operator="lessThan">
      <formula>$E$104</formula>
    </cfRule>
    <cfRule type="cellIs" dxfId="1440" priority="44" stopIfTrue="1" operator="greaterThanOrEqual">
      <formula>$E$104</formula>
    </cfRule>
  </conditionalFormatting>
  <conditionalFormatting sqref="R103">
    <cfRule type="cellIs" dxfId="1439" priority="41" stopIfTrue="1" operator="greaterThan">
      <formula>$E$103</formula>
    </cfRule>
    <cfRule type="cellIs" dxfId="1438" priority="42" stopIfTrue="1" operator="lessThanOrEqual">
      <formula>$E$103</formula>
    </cfRule>
  </conditionalFormatting>
  <conditionalFormatting sqref="R100">
    <cfRule type="cellIs" dxfId="1437" priority="30" stopIfTrue="1" operator="between">
      <formula>$D$100</formula>
      <formula>$E$100</formula>
    </cfRule>
    <cfRule type="cellIs" dxfId="1436" priority="39" stopIfTrue="1" operator="lessThanOrEqual">
      <formula>$D$100</formula>
    </cfRule>
    <cfRule type="cellIs" dxfId="1435" priority="40" stopIfTrue="1" operator="greaterThan">
      <formula>$E$100</formula>
    </cfRule>
  </conditionalFormatting>
  <conditionalFormatting sqref="R117">
    <cfRule type="cellIs" dxfId="1434" priority="37" stopIfTrue="1" operator="greaterThan">
      <formula>$E$117</formula>
    </cfRule>
    <cfRule type="cellIs" dxfId="1433" priority="38" stopIfTrue="1" operator="lessThanOrEqual">
      <formula>$E$117</formula>
    </cfRule>
  </conditionalFormatting>
  <conditionalFormatting sqref="R107">
    <cfRule type="cellIs" dxfId="1432" priority="35" stopIfTrue="1" operator="greaterThan">
      <formula>$E$107</formula>
    </cfRule>
    <cfRule type="cellIs" dxfId="1431" priority="36" stopIfTrue="1" operator="lessThanOrEqual">
      <formula>$E$107</formula>
    </cfRule>
  </conditionalFormatting>
  <conditionalFormatting sqref="R108">
    <cfRule type="cellIs" dxfId="1430" priority="33" stopIfTrue="1" operator="lessThan">
      <formula>$E$108</formula>
    </cfRule>
    <cfRule type="cellIs" dxfId="1429" priority="34" stopIfTrue="1" operator="greaterThanOrEqual">
      <formula>$E$108</formula>
    </cfRule>
  </conditionalFormatting>
  <conditionalFormatting sqref="R93">
    <cfRule type="cellIs" dxfId="1428" priority="53" stopIfTrue="1" operator="lessThan">
      <formula>$D$93</formula>
    </cfRule>
    <cfRule type="cellIs" dxfId="1427" priority="54" stopIfTrue="1" operator="between">
      <formula>$D$93</formula>
      <formula>$E$93</formula>
    </cfRule>
    <cfRule type="cellIs" dxfId="1426" priority="55" stopIfTrue="1" operator="greaterThan">
      <formula>$E$93</formula>
    </cfRule>
  </conditionalFormatting>
  <conditionalFormatting sqref="R114">
    <cfRule type="cellIs" dxfId="1425" priority="56" stopIfTrue="1" operator="lessThan">
      <formula>$E$114</formula>
    </cfRule>
    <cfRule type="cellIs" dxfId="1424" priority="57" stopIfTrue="1" operator="between">
      <formula>$D$114</formula>
      <formula>$E$114</formula>
    </cfRule>
    <cfRule type="cellIs" dxfId="1423" priority="58" stopIfTrue="1" operator="greaterThanOrEqual">
      <formula>$D$114</formula>
    </cfRule>
  </conditionalFormatting>
  <conditionalFormatting sqref="R90">
    <cfRule type="cellIs" dxfId="1422" priority="31" stopIfTrue="1" operator="lessThan">
      <formula>$E$90</formula>
    </cfRule>
    <cfRule type="cellIs" dxfId="1421" priority="32" stopIfTrue="1" operator="greaterThan">
      <formula>$E$90</formula>
    </cfRule>
  </conditionalFormatting>
  <conditionalFormatting sqref="K116:L116">
    <cfRule type="cellIs" dxfId="1420" priority="22" stopIfTrue="1" operator="greaterThan">
      <formula>$E$116</formula>
    </cfRule>
    <cfRule type="cellIs" dxfId="1419" priority="23" stopIfTrue="1" operator="lessThanOrEqual">
      <formula>$E$116</formula>
    </cfRule>
  </conditionalFormatting>
  <conditionalFormatting sqref="K118:L118">
    <cfRule type="cellIs" dxfId="1418" priority="20" stopIfTrue="1" operator="lessThanOrEqual">
      <formula>$E$118</formula>
    </cfRule>
    <cfRule type="cellIs" dxfId="1417" priority="21" stopIfTrue="1" operator="greaterThan">
      <formula>$E$118</formula>
    </cfRule>
  </conditionalFormatting>
  <conditionalFormatting sqref="K99:L99">
    <cfRule type="cellIs" dxfId="1416" priority="18" operator="greaterThan">
      <formula>$E$99</formula>
    </cfRule>
    <cfRule type="cellIs" dxfId="1415" priority="19" operator="lessThanOrEqual">
      <formula>$E$99</formula>
    </cfRule>
  </conditionalFormatting>
  <conditionalFormatting sqref="K102:L102">
    <cfRule type="cellIs" dxfId="1414" priority="16" stopIfTrue="1" operator="greaterThanOrEqual">
      <formula>$E$102</formula>
    </cfRule>
    <cfRule type="cellIs" dxfId="1413" priority="17" stopIfTrue="1" operator="lessThan">
      <formula>$E$102</formula>
    </cfRule>
  </conditionalFormatting>
  <conditionalFormatting sqref="K104:L104">
    <cfRule type="cellIs" dxfId="1412" priority="14" stopIfTrue="1" operator="lessThan">
      <formula>$E$104</formula>
    </cfRule>
    <cfRule type="cellIs" dxfId="1411" priority="15" stopIfTrue="1" operator="greaterThanOrEqual">
      <formula>$E$104</formula>
    </cfRule>
  </conditionalFormatting>
  <conditionalFormatting sqref="K103:L103">
    <cfRule type="cellIs" dxfId="1410" priority="12" stopIfTrue="1" operator="greaterThan">
      <formula>$E$103</formula>
    </cfRule>
    <cfRule type="cellIs" dxfId="1409" priority="13" stopIfTrue="1" operator="lessThanOrEqual">
      <formula>$E$103</formula>
    </cfRule>
  </conditionalFormatting>
  <conditionalFormatting sqref="K100:L100">
    <cfRule type="cellIs" dxfId="1408" priority="1" stopIfTrue="1" operator="between">
      <formula>$D$100</formula>
      <formula>$E$100</formula>
    </cfRule>
    <cfRule type="cellIs" dxfId="1407" priority="10" stopIfTrue="1" operator="lessThanOrEqual">
      <formula>$D$100</formula>
    </cfRule>
    <cfRule type="cellIs" dxfId="1406" priority="11" stopIfTrue="1" operator="greaterThan">
      <formula>$E$100</formula>
    </cfRule>
  </conditionalFormatting>
  <conditionalFormatting sqref="K117:L117">
    <cfRule type="cellIs" dxfId="1405" priority="8" stopIfTrue="1" operator="greaterThan">
      <formula>$E$117</formula>
    </cfRule>
    <cfRule type="cellIs" dxfId="1404" priority="9" stopIfTrue="1" operator="lessThanOrEqual">
      <formula>$E$117</formula>
    </cfRule>
  </conditionalFormatting>
  <conditionalFormatting sqref="K107:L107">
    <cfRule type="cellIs" dxfId="1403" priority="6" stopIfTrue="1" operator="greaterThan">
      <formula>$E$107</formula>
    </cfRule>
    <cfRule type="cellIs" dxfId="1402" priority="7" stopIfTrue="1" operator="lessThanOrEqual">
      <formula>$E$107</formula>
    </cfRule>
  </conditionalFormatting>
  <conditionalFormatting sqref="K108:L108">
    <cfRule type="cellIs" dxfId="1401" priority="4" stopIfTrue="1" operator="lessThan">
      <formula>$E$108</formula>
    </cfRule>
    <cfRule type="cellIs" dxfId="1400" priority="5" stopIfTrue="1" operator="greaterThanOrEqual">
      <formula>$E$108</formula>
    </cfRule>
  </conditionalFormatting>
  <conditionalFormatting sqref="K93:L93">
    <cfRule type="cellIs" dxfId="1399" priority="24" stopIfTrue="1" operator="lessThan">
      <formula>$D$93</formula>
    </cfRule>
    <cfRule type="cellIs" dxfId="1398" priority="25" stopIfTrue="1" operator="between">
      <formula>$D$93</formula>
      <formula>$E$93</formula>
    </cfRule>
    <cfRule type="cellIs" dxfId="1397" priority="26" stopIfTrue="1" operator="greaterThan">
      <formula>$E$93</formula>
    </cfRule>
  </conditionalFormatting>
  <conditionalFormatting sqref="K114:L114">
    <cfRule type="cellIs" dxfId="1396" priority="27" stopIfTrue="1" operator="lessThan">
      <formula>$E$114</formula>
    </cfRule>
    <cfRule type="cellIs" dxfId="1395" priority="28" stopIfTrue="1" operator="between">
      <formula>$D$114</formula>
      <formula>$E$114</formula>
    </cfRule>
    <cfRule type="cellIs" dxfId="1394" priority="29" stopIfTrue="1" operator="greaterThanOrEqual">
      <formula>$D$114</formula>
    </cfRule>
  </conditionalFormatting>
  <conditionalFormatting sqref="K90:L90">
    <cfRule type="cellIs" dxfId="1393" priority="2" stopIfTrue="1" operator="lessThan">
      <formula>$E$90</formula>
    </cfRule>
    <cfRule type="cellIs" dxfId="1392" priority="3" stopIfTrue="1" operator="greaterThan">
      <formula>$E$90</formula>
    </cfRule>
  </conditionalFormatting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topLeftCell="G1" workbookViewId="0">
      <selection activeCell="G2" sqref="G2"/>
    </sheetView>
  </sheetViews>
  <sheetFormatPr defaultRowHeight="11.25" x14ac:dyDescent="0.2"/>
  <cols>
    <col min="1" max="5" width="9.140625" style="422"/>
    <col min="6" max="6" width="3.140625" style="422" customWidth="1"/>
    <col min="7" max="7" width="35.28515625" style="422" customWidth="1"/>
    <col min="8" max="18" width="9.140625" style="422"/>
    <col min="19" max="19" width="3.28515625" style="422" customWidth="1"/>
    <col min="20" max="21" width="3" style="422" customWidth="1"/>
    <col min="22" max="16384" width="9.140625" style="422"/>
  </cols>
  <sheetData>
    <row r="1" spans="1:18" x14ac:dyDescent="0.2">
      <c r="A1" s="696"/>
      <c r="B1" s="697"/>
      <c r="C1" s="698"/>
      <c r="D1" s="698"/>
      <c r="E1" s="696"/>
      <c r="F1" s="696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</row>
    <row r="2" spans="1:18" x14ac:dyDescent="0.2">
      <c r="A2" s="698" t="s">
        <v>0</v>
      </c>
      <c r="B2" s="700" t="s">
        <v>1</v>
      </c>
      <c r="C2" s="698" t="s">
        <v>2</v>
      </c>
      <c r="D2" s="698"/>
      <c r="E2" s="696" t="s">
        <v>3</v>
      </c>
      <c r="F2" s="696"/>
      <c r="G2" s="701" t="s">
        <v>474</v>
      </c>
      <c r="H2" s="702" t="s">
        <v>475</v>
      </c>
      <c r="I2" s="703"/>
      <c r="J2" s="704"/>
      <c r="K2" s="1197" t="s">
        <v>6</v>
      </c>
      <c r="L2" s="1198"/>
      <c r="M2" s="1199" t="s">
        <v>476</v>
      </c>
      <c r="N2" s="1200"/>
      <c r="O2" s="1200"/>
      <c r="P2" s="1200"/>
      <c r="Q2" s="1200"/>
      <c r="R2" s="1201"/>
    </row>
    <row r="3" spans="1:18" x14ac:dyDescent="0.2">
      <c r="A3" s="696"/>
      <c r="B3" s="705"/>
      <c r="C3" s="698"/>
      <c r="D3" s="698"/>
      <c r="E3" s="696"/>
      <c r="F3" s="696"/>
      <c r="G3" s="706" t="s">
        <v>7</v>
      </c>
      <c r="H3" s="707">
        <v>40908</v>
      </c>
      <c r="I3" s="707">
        <v>41274</v>
      </c>
      <c r="J3" s="707">
        <v>41639</v>
      </c>
      <c r="K3" s="707">
        <v>42004</v>
      </c>
      <c r="L3" s="707">
        <v>42369</v>
      </c>
      <c r="M3" s="707">
        <v>42735</v>
      </c>
      <c r="N3" s="707">
        <v>43100</v>
      </c>
      <c r="O3" s="707">
        <v>43465</v>
      </c>
      <c r="P3" s="707">
        <v>43830</v>
      </c>
      <c r="Q3" s="707">
        <v>44196</v>
      </c>
      <c r="R3" s="707">
        <v>44561</v>
      </c>
    </row>
    <row r="4" spans="1:18" x14ac:dyDescent="0.2">
      <c r="A4" s="708"/>
      <c r="B4" s="697" t="s">
        <v>8</v>
      </c>
      <c r="C4" s="698">
        <v>1</v>
      </c>
      <c r="D4" s="698"/>
      <c r="E4" s="700"/>
      <c r="F4" s="708"/>
      <c r="G4" s="709" t="s">
        <v>9</v>
      </c>
      <c r="H4" s="710">
        <f t="shared" ref="H4:R4" si="0">H5+H10</f>
        <v>843.46099999999979</v>
      </c>
      <c r="I4" s="710">
        <f t="shared" si="0"/>
        <v>714.72700000000009</v>
      </c>
      <c r="J4" s="710">
        <f t="shared" si="0"/>
        <v>1309.7240000000002</v>
      </c>
      <c r="K4" s="710">
        <f t="shared" si="0"/>
        <v>1148.7839999999999</v>
      </c>
      <c r="L4" s="710">
        <f t="shared" si="0"/>
        <v>1564.9829999999999</v>
      </c>
      <c r="M4" s="710">
        <f t="shared" si="0"/>
        <v>1344</v>
      </c>
      <c r="N4" s="710">
        <f t="shared" si="0"/>
        <v>1147</v>
      </c>
      <c r="O4" s="710">
        <f t="shared" si="0"/>
        <v>847</v>
      </c>
      <c r="P4" s="710">
        <f t="shared" si="0"/>
        <v>847</v>
      </c>
      <c r="Q4" s="710">
        <f t="shared" si="0"/>
        <v>847</v>
      </c>
      <c r="R4" s="710">
        <f t="shared" si="0"/>
        <v>847</v>
      </c>
    </row>
    <row r="5" spans="1:18" x14ac:dyDescent="0.2">
      <c r="A5" s="708"/>
      <c r="B5" s="697" t="s">
        <v>10</v>
      </c>
      <c r="C5" s="698">
        <v>10</v>
      </c>
      <c r="D5" s="698"/>
      <c r="E5" s="696"/>
      <c r="F5" s="708"/>
      <c r="G5" s="711" t="s">
        <v>11</v>
      </c>
      <c r="H5" s="710">
        <f t="shared" ref="H5:R5" si="1">SUM(H6:H9)</f>
        <v>575.50099999999986</v>
      </c>
      <c r="I5" s="710">
        <f t="shared" si="1"/>
        <v>499.90700000000004</v>
      </c>
      <c r="J5" s="710">
        <f t="shared" si="1"/>
        <v>1022.8430000000001</v>
      </c>
      <c r="K5" s="710">
        <f t="shared" si="1"/>
        <v>919.68399999999997</v>
      </c>
      <c r="L5" s="710">
        <f t="shared" si="1"/>
        <v>1381.425</v>
      </c>
      <c r="M5" s="710">
        <f t="shared" si="1"/>
        <v>1212</v>
      </c>
      <c r="N5" s="710">
        <f t="shared" si="1"/>
        <v>1059</v>
      </c>
      <c r="O5" s="710">
        <f t="shared" si="1"/>
        <v>787</v>
      </c>
      <c r="P5" s="710">
        <f t="shared" si="1"/>
        <v>787</v>
      </c>
      <c r="Q5" s="710">
        <f t="shared" si="1"/>
        <v>787</v>
      </c>
      <c r="R5" s="710">
        <f t="shared" si="1"/>
        <v>787</v>
      </c>
    </row>
    <row r="6" spans="1:18" x14ac:dyDescent="0.2">
      <c r="A6" s="708"/>
      <c r="B6" s="697" t="s">
        <v>12</v>
      </c>
      <c r="C6" s="698" t="s">
        <v>13</v>
      </c>
      <c r="D6" s="698"/>
      <c r="E6" s="712" t="s">
        <v>14</v>
      </c>
      <c r="F6" s="708"/>
      <c r="G6" s="711" t="s">
        <v>15</v>
      </c>
      <c r="H6" s="713">
        <v>372.50599999999997</v>
      </c>
      <c r="I6" s="713">
        <v>346.21699999999998</v>
      </c>
      <c r="J6" s="713">
        <v>600.69799999999998</v>
      </c>
      <c r="K6" s="713">
        <v>854.04100000000005</v>
      </c>
      <c r="L6" s="713">
        <v>809.52300000000002</v>
      </c>
      <c r="M6" s="713">
        <v>1063</v>
      </c>
      <c r="N6" s="713">
        <v>950</v>
      </c>
      <c r="O6" s="713">
        <v>700</v>
      </c>
      <c r="P6" s="713">
        <v>700</v>
      </c>
      <c r="Q6" s="713">
        <v>700</v>
      </c>
      <c r="R6" s="713">
        <v>700</v>
      </c>
    </row>
    <row r="7" spans="1:18" x14ac:dyDescent="0.2">
      <c r="A7" s="708"/>
      <c r="B7" s="697" t="s">
        <v>16</v>
      </c>
      <c r="C7" s="698" t="s">
        <v>17</v>
      </c>
      <c r="D7" s="698"/>
      <c r="E7" s="712" t="s">
        <v>14</v>
      </c>
      <c r="F7" s="708"/>
      <c r="G7" s="711" t="s">
        <v>18</v>
      </c>
      <c r="H7" s="713">
        <v>144.21899999999999</v>
      </c>
      <c r="I7" s="713">
        <v>133.34</v>
      </c>
      <c r="J7" s="713">
        <v>403.17500000000001</v>
      </c>
      <c r="K7" s="713">
        <v>48.814999999999998</v>
      </c>
      <c r="L7" s="713">
        <v>558.69100000000003</v>
      </c>
      <c r="M7" s="713">
        <v>137</v>
      </c>
      <c r="N7" s="713">
        <v>100</v>
      </c>
      <c r="O7" s="713">
        <v>80</v>
      </c>
      <c r="P7" s="713">
        <v>80</v>
      </c>
      <c r="Q7" s="713">
        <v>80</v>
      </c>
      <c r="R7" s="713">
        <v>80</v>
      </c>
    </row>
    <row r="8" spans="1:18" x14ac:dyDescent="0.2">
      <c r="A8" s="708"/>
      <c r="B8" s="697" t="s">
        <v>19</v>
      </c>
      <c r="C8" s="698" t="s">
        <v>20</v>
      </c>
      <c r="D8" s="698"/>
      <c r="E8" s="712" t="s">
        <v>14</v>
      </c>
      <c r="F8" s="708"/>
      <c r="G8" s="711" t="s">
        <v>21</v>
      </c>
      <c r="H8" s="713">
        <v>0</v>
      </c>
      <c r="I8" s="713">
        <v>0</v>
      </c>
      <c r="J8" s="713">
        <v>0</v>
      </c>
      <c r="K8" s="713">
        <v>0</v>
      </c>
      <c r="L8" s="713">
        <v>0</v>
      </c>
      <c r="M8" s="713">
        <v>0</v>
      </c>
      <c r="N8" s="713">
        <v>0</v>
      </c>
      <c r="O8" s="713">
        <v>0</v>
      </c>
      <c r="P8" s="713">
        <v>0</v>
      </c>
      <c r="Q8" s="713">
        <v>0</v>
      </c>
      <c r="R8" s="713">
        <v>0</v>
      </c>
    </row>
    <row r="9" spans="1:18" x14ac:dyDescent="0.2">
      <c r="A9" s="708"/>
      <c r="B9" s="697" t="s">
        <v>22</v>
      </c>
      <c r="C9" s="698">
        <v>108</v>
      </c>
      <c r="D9" s="698"/>
      <c r="E9" s="714"/>
      <c r="F9" s="708"/>
      <c r="G9" s="711" t="s">
        <v>23</v>
      </c>
      <c r="H9" s="713">
        <v>58.776000000000003</v>
      </c>
      <c r="I9" s="713">
        <v>20.350000000000001</v>
      </c>
      <c r="J9" s="713">
        <v>18.97</v>
      </c>
      <c r="K9" s="713">
        <v>16.827999999999999</v>
      </c>
      <c r="L9" s="713">
        <v>13.211</v>
      </c>
      <c r="M9" s="713">
        <v>12</v>
      </c>
      <c r="N9" s="713">
        <v>9</v>
      </c>
      <c r="O9" s="713">
        <v>7</v>
      </c>
      <c r="P9" s="713">
        <v>7</v>
      </c>
      <c r="Q9" s="713">
        <v>7</v>
      </c>
      <c r="R9" s="713">
        <v>7</v>
      </c>
    </row>
    <row r="10" spans="1:18" x14ac:dyDescent="0.2">
      <c r="A10" s="708"/>
      <c r="B10" s="697" t="s">
        <v>24</v>
      </c>
      <c r="C10" s="698">
        <v>15</v>
      </c>
      <c r="D10" s="698"/>
      <c r="E10" s="714"/>
      <c r="F10" s="708"/>
      <c r="G10" s="711" t="s">
        <v>25</v>
      </c>
      <c r="H10" s="710">
        <f t="shared" ref="H10:R10" si="2">SUM(H11:H16)</f>
        <v>267.95999999999998</v>
      </c>
      <c r="I10" s="710">
        <f t="shared" si="2"/>
        <v>214.82</v>
      </c>
      <c r="J10" s="710">
        <f t="shared" si="2"/>
        <v>286.88099999999997</v>
      </c>
      <c r="K10" s="710">
        <f t="shared" si="2"/>
        <v>229.1</v>
      </c>
      <c r="L10" s="710">
        <f t="shared" si="2"/>
        <v>183.55799999999999</v>
      </c>
      <c r="M10" s="710">
        <f t="shared" si="2"/>
        <v>132</v>
      </c>
      <c r="N10" s="710">
        <f t="shared" si="2"/>
        <v>88</v>
      </c>
      <c r="O10" s="710">
        <f t="shared" si="2"/>
        <v>60</v>
      </c>
      <c r="P10" s="710">
        <f t="shared" si="2"/>
        <v>60</v>
      </c>
      <c r="Q10" s="710">
        <f t="shared" si="2"/>
        <v>60</v>
      </c>
      <c r="R10" s="710">
        <f t="shared" si="2"/>
        <v>60</v>
      </c>
    </row>
    <row r="11" spans="1:18" x14ac:dyDescent="0.2">
      <c r="A11" s="708"/>
      <c r="B11" s="697" t="s">
        <v>26</v>
      </c>
      <c r="C11" s="698">
        <v>150</v>
      </c>
      <c r="D11" s="698"/>
      <c r="E11" s="712" t="s">
        <v>14</v>
      </c>
      <c r="F11" s="708"/>
      <c r="G11" s="711" t="s">
        <v>27</v>
      </c>
      <c r="H11" s="713">
        <v>0</v>
      </c>
      <c r="I11" s="713">
        <v>0</v>
      </c>
      <c r="J11" s="713">
        <v>0</v>
      </c>
      <c r="K11" s="713">
        <v>0</v>
      </c>
      <c r="L11" s="713">
        <v>0</v>
      </c>
      <c r="M11" s="713">
        <v>0</v>
      </c>
      <c r="N11" s="713">
        <v>0</v>
      </c>
      <c r="O11" s="713">
        <v>0</v>
      </c>
      <c r="P11" s="713">
        <v>0</v>
      </c>
      <c r="Q11" s="713">
        <v>0</v>
      </c>
      <c r="R11" s="713">
        <v>0</v>
      </c>
    </row>
    <row r="12" spans="1:18" x14ac:dyDescent="0.2">
      <c r="A12" s="708"/>
      <c r="B12" s="697" t="s">
        <v>28</v>
      </c>
      <c r="C12" s="698">
        <v>151</v>
      </c>
      <c r="D12" s="698"/>
      <c r="E12" s="712" t="s">
        <v>14</v>
      </c>
      <c r="F12" s="708"/>
      <c r="G12" s="711" t="s">
        <v>29</v>
      </c>
      <c r="H12" s="713">
        <v>0</v>
      </c>
      <c r="I12" s="713">
        <v>0</v>
      </c>
      <c r="J12" s="713">
        <v>0</v>
      </c>
      <c r="K12" s="713">
        <v>0</v>
      </c>
      <c r="L12" s="713">
        <v>0</v>
      </c>
      <c r="M12" s="713">
        <v>0</v>
      </c>
      <c r="N12" s="713">
        <v>0</v>
      </c>
      <c r="O12" s="713">
        <v>0</v>
      </c>
      <c r="P12" s="713">
        <v>0</v>
      </c>
      <c r="Q12" s="713">
        <v>0</v>
      </c>
      <c r="R12" s="713">
        <v>0</v>
      </c>
    </row>
    <row r="13" spans="1:18" x14ac:dyDescent="0.2">
      <c r="A13" s="708"/>
      <c r="B13" s="697" t="s">
        <v>30</v>
      </c>
      <c r="C13" s="698" t="s">
        <v>31</v>
      </c>
      <c r="D13" s="698"/>
      <c r="E13" s="712" t="s">
        <v>14</v>
      </c>
      <c r="F13" s="708"/>
      <c r="G13" s="711" t="s">
        <v>32</v>
      </c>
      <c r="H13" s="713">
        <v>0</v>
      </c>
      <c r="I13" s="713">
        <v>0</v>
      </c>
      <c r="J13" s="713">
        <v>0</v>
      </c>
      <c r="K13" s="713">
        <v>0</v>
      </c>
      <c r="L13" s="713">
        <v>0</v>
      </c>
      <c r="M13" s="713">
        <v>0</v>
      </c>
      <c r="N13" s="713">
        <v>0</v>
      </c>
      <c r="O13" s="713">
        <v>0</v>
      </c>
      <c r="P13" s="713">
        <v>0</v>
      </c>
      <c r="Q13" s="713">
        <v>0</v>
      </c>
      <c r="R13" s="713">
        <v>0</v>
      </c>
    </row>
    <row r="14" spans="1:18" x14ac:dyDescent="0.2">
      <c r="A14" s="708"/>
      <c r="B14" s="697" t="s">
        <v>33</v>
      </c>
      <c r="C14" s="698">
        <v>154</v>
      </c>
      <c r="D14" s="698"/>
      <c r="E14" s="712" t="s">
        <v>14</v>
      </c>
      <c r="F14" s="708"/>
      <c r="G14" s="711" t="s">
        <v>34</v>
      </c>
      <c r="H14" s="713">
        <v>0</v>
      </c>
      <c r="I14" s="713">
        <v>0</v>
      </c>
      <c r="J14" s="713">
        <v>0</v>
      </c>
      <c r="K14" s="713">
        <v>0</v>
      </c>
      <c r="L14" s="713">
        <v>0</v>
      </c>
      <c r="M14" s="713">
        <v>0</v>
      </c>
      <c r="N14" s="713">
        <v>0</v>
      </c>
      <c r="O14" s="713">
        <v>0</v>
      </c>
      <c r="P14" s="713">
        <v>0</v>
      </c>
      <c r="Q14" s="713">
        <v>0</v>
      </c>
      <c r="R14" s="713">
        <v>0</v>
      </c>
    </row>
    <row r="15" spans="1:18" x14ac:dyDescent="0.2">
      <c r="A15" s="708"/>
      <c r="B15" s="697" t="s">
        <v>35</v>
      </c>
      <c r="C15" s="698" t="s">
        <v>36</v>
      </c>
      <c r="D15" s="698"/>
      <c r="E15" s="712" t="s">
        <v>14</v>
      </c>
      <c r="F15" s="708"/>
      <c r="G15" s="711" t="s">
        <v>37</v>
      </c>
      <c r="H15" s="713">
        <v>267.95999999999998</v>
      </c>
      <c r="I15" s="713">
        <v>214.82</v>
      </c>
      <c r="J15" s="713">
        <v>286.88099999999997</v>
      </c>
      <c r="K15" s="713">
        <v>229.1</v>
      </c>
      <c r="L15" s="713">
        <v>183.55799999999999</v>
      </c>
      <c r="M15" s="713">
        <v>132</v>
      </c>
      <c r="N15" s="713">
        <v>88</v>
      </c>
      <c r="O15" s="713">
        <v>60</v>
      </c>
      <c r="P15" s="713">
        <v>60</v>
      </c>
      <c r="Q15" s="713">
        <v>60</v>
      </c>
      <c r="R15" s="713">
        <v>60</v>
      </c>
    </row>
    <row r="16" spans="1:18" x14ac:dyDescent="0.2">
      <c r="A16" s="708"/>
      <c r="B16" s="697" t="s">
        <v>38</v>
      </c>
      <c r="C16" s="698">
        <v>157</v>
      </c>
      <c r="D16" s="698"/>
      <c r="E16" s="712" t="s">
        <v>14</v>
      </c>
      <c r="F16" s="708"/>
      <c r="G16" s="711" t="s">
        <v>39</v>
      </c>
      <c r="H16" s="713">
        <v>0</v>
      </c>
      <c r="I16" s="713">
        <v>0</v>
      </c>
      <c r="J16" s="713">
        <v>0</v>
      </c>
      <c r="K16" s="713">
        <v>0</v>
      </c>
      <c r="L16" s="713">
        <v>0</v>
      </c>
      <c r="M16" s="713">
        <v>0</v>
      </c>
      <c r="N16" s="713">
        <v>0</v>
      </c>
      <c r="O16" s="713">
        <v>0</v>
      </c>
      <c r="P16" s="713">
        <v>0</v>
      </c>
      <c r="Q16" s="713">
        <v>0</v>
      </c>
      <c r="R16" s="713">
        <v>0</v>
      </c>
    </row>
    <row r="17" spans="1:18" x14ac:dyDescent="0.2">
      <c r="A17" s="715"/>
      <c r="B17" s="697" t="s">
        <v>40</v>
      </c>
      <c r="C17" s="715" t="s">
        <v>41</v>
      </c>
      <c r="D17" s="715"/>
      <c r="E17" s="712" t="s">
        <v>14</v>
      </c>
      <c r="F17" s="716"/>
      <c r="G17" s="717" t="s">
        <v>42</v>
      </c>
      <c r="H17" s="718">
        <v>0</v>
      </c>
      <c r="I17" s="718">
        <v>0</v>
      </c>
      <c r="J17" s="718">
        <v>0</v>
      </c>
      <c r="K17" s="718">
        <v>0</v>
      </c>
      <c r="L17" s="718">
        <v>0</v>
      </c>
      <c r="M17" s="718">
        <v>0</v>
      </c>
      <c r="N17" s="718">
        <v>0</v>
      </c>
      <c r="O17" s="718">
        <v>0</v>
      </c>
      <c r="P17" s="718">
        <v>0</v>
      </c>
      <c r="Q17" s="718">
        <v>0</v>
      </c>
      <c r="R17" s="718">
        <v>0</v>
      </c>
    </row>
    <row r="18" spans="1:18" x14ac:dyDescent="0.2">
      <c r="A18" s="708"/>
      <c r="B18" s="697" t="s">
        <v>43</v>
      </c>
      <c r="C18" s="698">
        <v>2</v>
      </c>
      <c r="D18" s="698"/>
      <c r="E18" s="714"/>
      <c r="F18" s="708"/>
      <c r="G18" s="711" t="s">
        <v>44</v>
      </c>
      <c r="H18" s="710">
        <f t="shared" ref="H18:R18" si="3">H19+H27</f>
        <v>843.46100000000001</v>
      </c>
      <c r="I18" s="710">
        <f t="shared" si="3"/>
        <v>714.72700000000009</v>
      </c>
      <c r="J18" s="710">
        <f t="shared" si="3"/>
        <v>1309.7239999999999</v>
      </c>
      <c r="K18" s="710">
        <f t="shared" si="3"/>
        <v>1148.7829999999999</v>
      </c>
      <c r="L18" s="710">
        <f t="shared" si="3"/>
        <v>1564.982</v>
      </c>
      <c r="M18" s="710">
        <f t="shared" si="3"/>
        <v>1343.8630000000001</v>
      </c>
      <c r="N18" s="710">
        <f t="shared" si="3"/>
        <v>1146.8630000000001</v>
      </c>
      <c r="O18" s="710">
        <f t="shared" si="3"/>
        <v>846.86300000000006</v>
      </c>
      <c r="P18" s="710">
        <f t="shared" si="3"/>
        <v>846.86300000000006</v>
      </c>
      <c r="Q18" s="710">
        <f t="shared" si="3"/>
        <v>846.86300000000006</v>
      </c>
      <c r="R18" s="710">
        <f t="shared" si="3"/>
        <v>846.86300000000006</v>
      </c>
    </row>
    <row r="19" spans="1:18" x14ac:dyDescent="0.2">
      <c r="A19" s="708"/>
      <c r="B19" s="697" t="s">
        <v>45</v>
      </c>
      <c r="C19" s="698" t="s">
        <v>46</v>
      </c>
      <c r="D19" s="698"/>
      <c r="E19" s="714"/>
      <c r="F19" s="708"/>
      <c r="G19" s="711" t="s">
        <v>47</v>
      </c>
      <c r="H19" s="710">
        <f t="shared" ref="H19:R19" si="4">SUM(H21:H26)</f>
        <v>632.86800000000005</v>
      </c>
      <c r="I19" s="710">
        <f t="shared" si="4"/>
        <v>398.495</v>
      </c>
      <c r="J19" s="710">
        <f t="shared" si="4"/>
        <v>899.13599999999997</v>
      </c>
      <c r="K19" s="710">
        <f t="shared" si="4"/>
        <v>719.26700000000005</v>
      </c>
      <c r="L19" s="710">
        <f t="shared" si="4"/>
        <v>1137.8969999999999</v>
      </c>
      <c r="M19" s="710">
        <f>SUM(M21:M26)</f>
        <v>998</v>
      </c>
      <c r="N19" s="710">
        <f t="shared" si="4"/>
        <v>800</v>
      </c>
      <c r="O19" s="710">
        <f t="shared" si="4"/>
        <v>500</v>
      </c>
      <c r="P19" s="710">
        <f t="shared" si="4"/>
        <v>500</v>
      </c>
      <c r="Q19" s="710">
        <f t="shared" si="4"/>
        <v>500</v>
      </c>
      <c r="R19" s="710">
        <f t="shared" si="4"/>
        <v>500</v>
      </c>
    </row>
    <row r="20" spans="1:18" x14ac:dyDescent="0.2">
      <c r="A20" s="719"/>
      <c r="B20" s="697" t="s">
        <v>48</v>
      </c>
      <c r="C20" s="715" t="s">
        <v>49</v>
      </c>
      <c r="D20" s="715"/>
      <c r="E20" s="712" t="s">
        <v>14</v>
      </c>
      <c r="F20" s="719"/>
      <c r="G20" s="717" t="s">
        <v>50</v>
      </c>
      <c r="H20" s="720">
        <v>561.697</v>
      </c>
      <c r="I20" s="720">
        <v>398.495</v>
      </c>
      <c r="J20" s="720">
        <v>899.13599999999997</v>
      </c>
      <c r="K20" s="720">
        <v>719.26700000000005</v>
      </c>
      <c r="L20" s="720">
        <v>1137.8969999999999</v>
      </c>
      <c r="M20" s="720">
        <v>998</v>
      </c>
      <c r="N20" s="720">
        <v>800</v>
      </c>
      <c r="O20" s="720">
        <v>500</v>
      </c>
      <c r="P20" s="720">
        <v>500</v>
      </c>
      <c r="Q20" s="720">
        <v>500</v>
      </c>
      <c r="R20" s="720">
        <v>500</v>
      </c>
    </row>
    <row r="21" spans="1:18" x14ac:dyDescent="0.2">
      <c r="A21" s="708"/>
      <c r="B21" s="697" t="s">
        <v>51</v>
      </c>
      <c r="C21" s="708" t="s">
        <v>52</v>
      </c>
      <c r="D21" s="708"/>
      <c r="E21" s="712" t="s">
        <v>14</v>
      </c>
      <c r="F21" s="708"/>
      <c r="G21" s="711" t="s">
        <v>53</v>
      </c>
      <c r="H21" s="713">
        <v>561.697</v>
      </c>
      <c r="I21" s="713">
        <v>398.495</v>
      </c>
      <c r="J21" s="713">
        <v>899.13599999999997</v>
      </c>
      <c r="K21" s="713">
        <v>719.26700000000005</v>
      </c>
      <c r="L21" s="713">
        <v>1137.8969999999999</v>
      </c>
      <c r="M21" s="713">
        <v>998</v>
      </c>
      <c r="N21" s="713">
        <v>800</v>
      </c>
      <c r="O21" s="713">
        <v>500</v>
      </c>
      <c r="P21" s="713">
        <v>500</v>
      </c>
      <c r="Q21" s="713">
        <v>500</v>
      </c>
      <c r="R21" s="713">
        <v>500</v>
      </c>
    </row>
    <row r="22" spans="1:18" x14ac:dyDescent="0.2">
      <c r="A22" s="708"/>
      <c r="B22" s="697" t="s">
        <v>54</v>
      </c>
      <c r="C22" s="698" t="s">
        <v>55</v>
      </c>
      <c r="D22" s="698"/>
      <c r="E22" s="712" t="s">
        <v>14</v>
      </c>
      <c r="F22" s="708"/>
      <c r="G22" s="711" t="s">
        <v>56</v>
      </c>
      <c r="H22" s="713">
        <v>0</v>
      </c>
      <c r="I22" s="713">
        <v>0</v>
      </c>
      <c r="J22" s="713">
        <v>0</v>
      </c>
      <c r="K22" s="713">
        <v>0</v>
      </c>
      <c r="L22" s="713">
        <v>0</v>
      </c>
      <c r="M22" s="713">
        <v>0</v>
      </c>
      <c r="N22" s="713">
        <v>0</v>
      </c>
      <c r="O22" s="713">
        <v>0</v>
      </c>
      <c r="P22" s="713">
        <v>0</v>
      </c>
      <c r="Q22" s="713">
        <v>0</v>
      </c>
      <c r="R22" s="713">
        <v>0</v>
      </c>
    </row>
    <row r="23" spans="1:18" x14ac:dyDescent="0.2">
      <c r="A23" s="708"/>
      <c r="B23" s="697" t="s">
        <v>57</v>
      </c>
      <c r="C23" s="698">
        <v>257</v>
      </c>
      <c r="D23" s="698"/>
      <c r="E23" s="712" t="s">
        <v>14</v>
      </c>
      <c r="F23" s="708"/>
      <c r="G23" s="711" t="s">
        <v>58</v>
      </c>
      <c r="H23" s="713">
        <v>0</v>
      </c>
      <c r="I23" s="713">
        <v>0</v>
      </c>
      <c r="J23" s="713">
        <v>0</v>
      </c>
      <c r="K23" s="713">
        <v>0</v>
      </c>
      <c r="L23" s="713">
        <v>0</v>
      </c>
      <c r="M23" s="713">
        <v>0</v>
      </c>
      <c r="N23" s="713">
        <v>0</v>
      </c>
      <c r="O23" s="713">
        <v>0</v>
      </c>
      <c r="P23" s="713">
        <v>0</v>
      </c>
      <c r="Q23" s="713">
        <v>0</v>
      </c>
      <c r="R23" s="713">
        <v>0</v>
      </c>
    </row>
    <row r="24" spans="1:18" x14ac:dyDescent="0.2">
      <c r="A24" s="721"/>
      <c r="B24" s="697" t="s">
        <v>59</v>
      </c>
      <c r="C24" s="698" t="s">
        <v>60</v>
      </c>
      <c r="D24" s="698"/>
      <c r="E24" s="712" t="s">
        <v>14</v>
      </c>
      <c r="F24" s="721"/>
      <c r="G24" s="711" t="s">
        <v>61</v>
      </c>
      <c r="H24" s="713">
        <v>71.171000000000006</v>
      </c>
      <c r="I24" s="713">
        <v>0</v>
      </c>
      <c r="J24" s="713">
        <v>0</v>
      </c>
      <c r="K24" s="713">
        <v>0</v>
      </c>
      <c r="L24" s="713">
        <v>0</v>
      </c>
      <c r="M24" s="713">
        <v>0</v>
      </c>
      <c r="N24" s="713">
        <v>0</v>
      </c>
      <c r="O24" s="713">
        <v>0</v>
      </c>
      <c r="P24" s="713">
        <v>0</v>
      </c>
      <c r="Q24" s="713">
        <v>0</v>
      </c>
      <c r="R24" s="713">
        <v>0</v>
      </c>
    </row>
    <row r="25" spans="1:18" x14ac:dyDescent="0.2">
      <c r="A25" s="721"/>
      <c r="B25" s="697" t="s">
        <v>62</v>
      </c>
      <c r="C25" s="698" t="s">
        <v>63</v>
      </c>
      <c r="D25" s="698"/>
      <c r="E25" s="712" t="s">
        <v>14</v>
      </c>
      <c r="F25" s="721"/>
      <c r="G25" s="711" t="s">
        <v>64</v>
      </c>
      <c r="H25" s="713">
        <v>0</v>
      </c>
      <c r="I25" s="713">
        <v>0</v>
      </c>
      <c r="J25" s="713">
        <v>0</v>
      </c>
      <c r="K25" s="713">
        <v>0</v>
      </c>
      <c r="L25" s="713">
        <v>0</v>
      </c>
      <c r="M25" s="713">
        <v>0</v>
      </c>
      <c r="N25" s="713">
        <v>0</v>
      </c>
      <c r="O25" s="713">
        <v>0</v>
      </c>
      <c r="P25" s="713">
        <v>0</v>
      </c>
      <c r="Q25" s="713">
        <v>0</v>
      </c>
      <c r="R25" s="713">
        <v>0</v>
      </c>
    </row>
    <row r="26" spans="1:18" x14ac:dyDescent="0.2">
      <c r="A26" s="708"/>
      <c r="B26" s="697" t="s">
        <v>65</v>
      </c>
      <c r="C26" s="698">
        <v>28</v>
      </c>
      <c r="D26" s="698"/>
      <c r="E26" s="712" t="s">
        <v>14</v>
      </c>
      <c r="F26" s="708"/>
      <c r="G26" s="711" t="s">
        <v>66</v>
      </c>
      <c r="H26" s="713">
        <v>0</v>
      </c>
      <c r="I26" s="713">
        <v>0</v>
      </c>
      <c r="J26" s="713">
        <v>0</v>
      </c>
      <c r="K26" s="713">
        <v>0</v>
      </c>
      <c r="L26" s="713">
        <v>0</v>
      </c>
      <c r="M26" s="713">
        <v>0</v>
      </c>
      <c r="N26" s="713">
        <v>0</v>
      </c>
      <c r="O26" s="713">
        <v>0</v>
      </c>
      <c r="P26" s="713">
        <v>0</v>
      </c>
      <c r="Q26" s="713">
        <v>0</v>
      </c>
      <c r="R26" s="713">
        <v>0</v>
      </c>
    </row>
    <row r="27" spans="1:18" x14ac:dyDescent="0.2">
      <c r="A27" s="708"/>
      <c r="B27" s="697" t="s">
        <v>67</v>
      </c>
      <c r="C27" s="698">
        <v>29</v>
      </c>
      <c r="D27" s="698"/>
      <c r="E27" s="714"/>
      <c r="F27" s="708"/>
      <c r="G27" s="711" t="s">
        <v>68</v>
      </c>
      <c r="H27" s="710">
        <f t="shared" ref="H27:R27" si="5">SUM(H28:H30)</f>
        <v>210.59299999999996</v>
      </c>
      <c r="I27" s="710">
        <f t="shared" si="5"/>
        <v>316.23200000000003</v>
      </c>
      <c r="J27" s="710">
        <f t="shared" si="5"/>
        <v>410.58799999999997</v>
      </c>
      <c r="K27" s="710">
        <f t="shared" si="5"/>
        <v>429.51599999999996</v>
      </c>
      <c r="L27" s="710">
        <f t="shared" si="5"/>
        <v>427.08499999999998</v>
      </c>
      <c r="M27" s="710">
        <f t="shared" si="5"/>
        <v>345.863</v>
      </c>
      <c r="N27" s="710">
        <f t="shared" si="5"/>
        <v>346.863</v>
      </c>
      <c r="O27" s="710">
        <f t="shared" si="5"/>
        <v>346.863</v>
      </c>
      <c r="P27" s="710">
        <f t="shared" si="5"/>
        <v>346.863</v>
      </c>
      <c r="Q27" s="710">
        <f t="shared" si="5"/>
        <v>346.863</v>
      </c>
      <c r="R27" s="710">
        <f t="shared" si="5"/>
        <v>346.863</v>
      </c>
    </row>
    <row r="28" spans="1:18" x14ac:dyDescent="0.2">
      <c r="A28" s="708"/>
      <c r="B28" s="697" t="s">
        <v>69</v>
      </c>
      <c r="C28" s="708" t="s">
        <v>70</v>
      </c>
      <c r="D28" s="708"/>
      <c r="E28" s="712" t="s">
        <v>14</v>
      </c>
      <c r="F28" s="708"/>
      <c r="G28" s="711" t="s">
        <v>71</v>
      </c>
      <c r="H28" s="713">
        <v>208.863</v>
      </c>
      <c r="I28" s="713">
        <v>208.863</v>
      </c>
      <c r="J28" s="713">
        <v>208.863</v>
      </c>
      <c r="K28" s="713">
        <v>208.863</v>
      </c>
      <c r="L28" s="713">
        <v>208.863</v>
      </c>
      <c r="M28" s="713">
        <v>208.863</v>
      </c>
      <c r="N28" s="713">
        <v>208.863</v>
      </c>
      <c r="O28" s="713">
        <v>208.863</v>
      </c>
      <c r="P28" s="713">
        <v>208.863</v>
      </c>
      <c r="Q28" s="713">
        <v>208.863</v>
      </c>
      <c r="R28" s="713">
        <v>208.863</v>
      </c>
    </row>
    <row r="29" spans="1:18" x14ac:dyDescent="0.2">
      <c r="A29" s="708"/>
      <c r="B29" s="697" t="s">
        <v>72</v>
      </c>
      <c r="C29" s="698">
        <v>298</v>
      </c>
      <c r="D29" s="698"/>
      <c r="E29" s="712" t="s">
        <v>14</v>
      </c>
      <c r="F29" s="708"/>
      <c r="G29" s="711" t="s">
        <v>73</v>
      </c>
      <c r="H29" s="713">
        <v>109.821</v>
      </c>
      <c r="I29" s="713">
        <v>72.900999999999996</v>
      </c>
      <c r="J29" s="713">
        <v>107.369</v>
      </c>
      <c r="K29" s="713">
        <v>201.72399999999999</v>
      </c>
      <c r="L29" s="713">
        <v>220.65299999999999</v>
      </c>
      <c r="M29" s="713">
        <v>218</v>
      </c>
      <c r="N29" s="713">
        <v>138</v>
      </c>
      <c r="O29" s="713">
        <v>138</v>
      </c>
      <c r="P29" s="713">
        <v>138</v>
      </c>
      <c r="Q29" s="713">
        <v>138</v>
      </c>
      <c r="R29" s="713">
        <v>138</v>
      </c>
    </row>
    <row r="30" spans="1:18" x14ac:dyDescent="0.2">
      <c r="A30" s="708"/>
      <c r="B30" s="697" t="s">
        <v>74</v>
      </c>
      <c r="C30" s="698">
        <v>299</v>
      </c>
      <c r="D30" s="698"/>
      <c r="E30" s="712" t="s">
        <v>477</v>
      </c>
      <c r="F30" s="708"/>
      <c r="G30" s="711" t="s">
        <v>76</v>
      </c>
      <c r="H30" s="713">
        <v>-108.09099999999999</v>
      </c>
      <c r="I30" s="713">
        <v>34.468000000000004</v>
      </c>
      <c r="J30" s="713">
        <v>94.355999999999995</v>
      </c>
      <c r="K30" s="713">
        <v>18.928999999999998</v>
      </c>
      <c r="L30" s="713">
        <v>-2.431</v>
      </c>
      <c r="M30" s="713">
        <v>-81</v>
      </c>
      <c r="N30" s="713">
        <v>0</v>
      </c>
      <c r="O30" s="713">
        <v>0</v>
      </c>
      <c r="P30" s="713">
        <v>0</v>
      </c>
      <c r="Q30" s="713">
        <v>0</v>
      </c>
      <c r="R30" s="713">
        <v>0</v>
      </c>
    </row>
    <row r="31" spans="1:18" x14ac:dyDescent="0.2">
      <c r="A31" s="722"/>
      <c r="B31" s="705"/>
      <c r="C31" s="723"/>
      <c r="D31" s="723"/>
      <c r="E31" s="724"/>
      <c r="F31" s="722"/>
      <c r="G31" s="725" t="s">
        <v>77</v>
      </c>
      <c r="H31" s="726">
        <f t="shared" ref="H31:R31" si="6">H4-H18</f>
        <v>0</v>
      </c>
      <c r="I31" s="726">
        <f t="shared" si="6"/>
        <v>0</v>
      </c>
      <c r="J31" s="726">
        <f t="shared" si="6"/>
        <v>0</v>
      </c>
      <c r="K31" s="726">
        <f t="shared" si="6"/>
        <v>9.9999999997635314E-4</v>
      </c>
      <c r="L31" s="726">
        <f t="shared" si="6"/>
        <v>9.9999999997635314E-4</v>
      </c>
      <c r="M31" s="726">
        <f t="shared" si="6"/>
        <v>0.13699999999994361</v>
      </c>
      <c r="N31" s="726">
        <f t="shared" si="6"/>
        <v>0.13699999999994361</v>
      </c>
      <c r="O31" s="726">
        <f t="shared" si="6"/>
        <v>0.13699999999994361</v>
      </c>
      <c r="P31" s="726">
        <f t="shared" si="6"/>
        <v>0.13699999999994361</v>
      </c>
      <c r="Q31" s="726">
        <f t="shared" si="6"/>
        <v>0.13699999999994361</v>
      </c>
      <c r="R31" s="726">
        <f t="shared" si="6"/>
        <v>0.13699999999994361</v>
      </c>
    </row>
    <row r="32" spans="1:18" x14ac:dyDescent="0.2">
      <c r="A32" s="708"/>
      <c r="B32" s="697"/>
      <c r="C32" s="698"/>
      <c r="D32" s="698"/>
      <c r="E32" s="696"/>
      <c r="F32" s="708"/>
      <c r="G32" s="706"/>
      <c r="H32" s="727">
        <v>2011</v>
      </c>
      <c r="I32" s="727">
        <f t="shared" ref="I32:R32" si="7">H32+1</f>
        <v>2012</v>
      </c>
      <c r="J32" s="727">
        <f t="shared" si="7"/>
        <v>2013</v>
      </c>
      <c r="K32" s="727">
        <f t="shared" si="7"/>
        <v>2014</v>
      </c>
      <c r="L32" s="727">
        <f t="shared" si="7"/>
        <v>2015</v>
      </c>
      <c r="M32" s="727">
        <f t="shared" si="7"/>
        <v>2016</v>
      </c>
      <c r="N32" s="727">
        <f t="shared" si="7"/>
        <v>2017</v>
      </c>
      <c r="O32" s="727">
        <f t="shared" si="7"/>
        <v>2018</v>
      </c>
      <c r="P32" s="727">
        <f t="shared" si="7"/>
        <v>2019</v>
      </c>
      <c r="Q32" s="727">
        <f t="shared" si="7"/>
        <v>2020</v>
      </c>
      <c r="R32" s="727">
        <f t="shared" si="7"/>
        <v>2021</v>
      </c>
    </row>
    <row r="33" spans="1:18" x14ac:dyDescent="0.2">
      <c r="A33" s="708"/>
      <c r="B33" s="697" t="s">
        <v>79</v>
      </c>
      <c r="C33" s="698">
        <v>3</v>
      </c>
      <c r="D33" s="698"/>
      <c r="E33" s="696"/>
      <c r="F33" s="708"/>
      <c r="G33" s="709" t="s">
        <v>80</v>
      </c>
      <c r="H33" s="710">
        <f t="shared" ref="H33:R33" si="8">SUM(H34:H37)</f>
        <v>4486.5829999999996</v>
      </c>
      <c r="I33" s="710">
        <f t="shared" si="8"/>
        <v>4803.4870000000001</v>
      </c>
      <c r="J33" s="728">
        <f t="shared" si="8"/>
        <v>4754.7780000000002</v>
      </c>
      <c r="K33" s="710">
        <f t="shared" si="8"/>
        <v>5893.6329999999998</v>
      </c>
      <c r="L33" s="710">
        <f t="shared" si="8"/>
        <v>5335.1720000000005</v>
      </c>
      <c r="M33" s="710">
        <f t="shared" si="8"/>
        <v>9340.6</v>
      </c>
      <c r="N33" s="710">
        <f t="shared" si="8"/>
        <v>10350</v>
      </c>
      <c r="O33" s="710">
        <f t="shared" si="8"/>
        <v>7370</v>
      </c>
      <c r="P33" s="710">
        <f t="shared" si="8"/>
        <v>7170</v>
      </c>
      <c r="Q33" s="710">
        <f t="shared" si="8"/>
        <v>7170</v>
      </c>
      <c r="R33" s="710">
        <f t="shared" si="8"/>
        <v>7170</v>
      </c>
    </row>
    <row r="34" spans="1:18" x14ac:dyDescent="0.2">
      <c r="A34" s="708"/>
      <c r="B34" s="697" t="s">
        <v>81</v>
      </c>
      <c r="C34" s="698">
        <v>30</v>
      </c>
      <c r="D34" s="698"/>
      <c r="E34" s="712" t="s">
        <v>14</v>
      </c>
      <c r="F34" s="708"/>
      <c r="G34" s="711" t="s">
        <v>82</v>
      </c>
      <c r="H34" s="713">
        <v>0</v>
      </c>
      <c r="I34" s="713">
        <v>0</v>
      </c>
      <c r="J34" s="713">
        <v>0</v>
      </c>
      <c r="K34" s="713">
        <v>0</v>
      </c>
      <c r="L34" s="713">
        <v>0</v>
      </c>
      <c r="M34" s="713">
        <v>0</v>
      </c>
      <c r="N34" s="713">
        <v>0</v>
      </c>
      <c r="O34" s="713">
        <v>0</v>
      </c>
      <c r="P34" s="713">
        <v>0</v>
      </c>
      <c r="Q34" s="713">
        <v>0</v>
      </c>
      <c r="R34" s="713">
        <v>0</v>
      </c>
    </row>
    <row r="35" spans="1:18" x14ac:dyDescent="0.2">
      <c r="A35" s="708"/>
      <c r="B35" s="697" t="s">
        <v>83</v>
      </c>
      <c r="C35" s="698">
        <v>32</v>
      </c>
      <c r="D35" s="698"/>
      <c r="E35" s="712" t="s">
        <v>14</v>
      </c>
      <c r="F35" s="708"/>
      <c r="G35" s="711" t="s">
        <v>84</v>
      </c>
      <c r="H35" s="713">
        <v>492.05500000000001</v>
      </c>
      <c r="I35" s="713">
        <v>602.255</v>
      </c>
      <c r="J35" s="713">
        <v>591.63099999999997</v>
      </c>
      <c r="K35" s="713">
        <v>602.42399999999998</v>
      </c>
      <c r="L35" s="713">
        <v>647.21199999999999</v>
      </c>
      <c r="M35" s="713">
        <v>636</v>
      </c>
      <c r="N35" s="713">
        <v>670</v>
      </c>
      <c r="O35" s="713">
        <v>670</v>
      </c>
      <c r="P35" s="713">
        <v>670</v>
      </c>
      <c r="Q35" s="713">
        <v>670</v>
      </c>
      <c r="R35" s="713">
        <v>670</v>
      </c>
    </row>
    <row r="36" spans="1:18" x14ac:dyDescent="0.2">
      <c r="A36" s="708"/>
      <c r="B36" s="697" t="s">
        <v>85</v>
      </c>
      <c r="C36" s="698">
        <v>35</v>
      </c>
      <c r="D36" s="698"/>
      <c r="E36" s="712" t="s">
        <v>14</v>
      </c>
      <c r="F36" s="708"/>
      <c r="G36" s="711" t="s">
        <v>86</v>
      </c>
      <c r="H36" s="713">
        <v>3993.2979999999998</v>
      </c>
      <c r="I36" s="713">
        <v>4198.2879999999996</v>
      </c>
      <c r="J36" s="713">
        <v>4162.3019999999997</v>
      </c>
      <c r="K36" s="713">
        <v>5291.2089999999998</v>
      </c>
      <c r="L36" s="713">
        <v>4687.0410000000002</v>
      </c>
      <c r="M36" s="713">
        <v>8675.6</v>
      </c>
      <c r="N36" s="713">
        <v>9670</v>
      </c>
      <c r="O36" s="713">
        <v>6700</v>
      </c>
      <c r="P36" s="713">
        <v>6500</v>
      </c>
      <c r="Q36" s="713">
        <v>6500</v>
      </c>
      <c r="R36" s="713">
        <v>6500</v>
      </c>
    </row>
    <row r="37" spans="1:18" x14ac:dyDescent="0.2">
      <c r="A37" s="708"/>
      <c r="B37" s="697" t="s">
        <v>87</v>
      </c>
      <c r="C37" s="698">
        <v>38</v>
      </c>
      <c r="D37" s="698"/>
      <c r="E37" s="712" t="s">
        <v>14</v>
      </c>
      <c r="F37" s="708"/>
      <c r="G37" s="711" t="s">
        <v>88</v>
      </c>
      <c r="H37" s="713">
        <v>1.23</v>
      </c>
      <c r="I37" s="713">
        <v>2.944</v>
      </c>
      <c r="J37" s="713">
        <v>0.84499999999999997</v>
      </c>
      <c r="K37" s="713">
        <v>0</v>
      </c>
      <c r="L37" s="713">
        <v>0.91900000000000004</v>
      </c>
      <c r="M37" s="713">
        <v>29</v>
      </c>
      <c r="N37" s="713">
        <v>10</v>
      </c>
      <c r="O37" s="713">
        <v>0</v>
      </c>
      <c r="P37" s="713">
        <v>0</v>
      </c>
      <c r="Q37" s="713">
        <v>0</v>
      </c>
      <c r="R37" s="713">
        <v>0</v>
      </c>
    </row>
    <row r="38" spans="1:18" x14ac:dyDescent="0.2">
      <c r="A38" s="708"/>
      <c r="B38" s="697" t="s">
        <v>89</v>
      </c>
      <c r="C38" s="698">
        <v>4</v>
      </c>
      <c r="D38" s="698"/>
      <c r="E38" s="696"/>
      <c r="F38" s="708"/>
      <c r="G38" s="711" t="s">
        <v>90</v>
      </c>
      <c r="H38" s="710">
        <f t="shared" ref="H38:R38" si="9">H39+H40</f>
        <v>-3064.2939999999999</v>
      </c>
      <c r="I38" s="710">
        <f t="shared" si="9"/>
        <v>-3090.9369999999999</v>
      </c>
      <c r="J38" s="728">
        <f t="shared" si="9"/>
        <v>-3108.8710000000001</v>
      </c>
      <c r="K38" s="710">
        <f t="shared" si="9"/>
        <v>-4220.6769999999997</v>
      </c>
      <c r="L38" s="710">
        <f t="shared" si="9"/>
        <v>-3432.6309999999999</v>
      </c>
      <c r="M38" s="710">
        <f t="shared" si="9"/>
        <v>-7557</v>
      </c>
      <c r="N38" s="710">
        <f t="shared" si="9"/>
        <v>-8557</v>
      </c>
      <c r="O38" s="710">
        <f t="shared" si="9"/>
        <v>-5700</v>
      </c>
      <c r="P38" s="710">
        <f t="shared" si="9"/>
        <v>-5500</v>
      </c>
      <c r="Q38" s="710">
        <f t="shared" si="9"/>
        <v>-5500</v>
      </c>
      <c r="R38" s="710">
        <f t="shared" si="9"/>
        <v>-5500</v>
      </c>
    </row>
    <row r="39" spans="1:18" x14ac:dyDescent="0.2">
      <c r="A39" s="708"/>
      <c r="B39" s="697" t="s">
        <v>91</v>
      </c>
      <c r="C39" s="698">
        <v>41</v>
      </c>
      <c r="D39" s="698"/>
      <c r="E39" s="712" t="s">
        <v>478</v>
      </c>
      <c r="F39" s="708"/>
      <c r="G39" s="711" t="s">
        <v>93</v>
      </c>
      <c r="H39" s="713">
        <v>0</v>
      </c>
      <c r="I39" s="713">
        <v>0</v>
      </c>
      <c r="J39" s="713">
        <v>0</v>
      </c>
      <c r="K39" s="713">
        <v>0</v>
      </c>
      <c r="L39" s="713">
        <v>0</v>
      </c>
      <c r="M39" s="713">
        <v>0</v>
      </c>
      <c r="N39" s="713">
        <v>0</v>
      </c>
      <c r="O39" s="713">
        <v>0</v>
      </c>
      <c r="P39" s="713">
        <v>0</v>
      </c>
      <c r="Q39" s="713">
        <v>0</v>
      </c>
      <c r="R39" s="713">
        <v>0</v>
      </c>
    </row>
    <row r="40" spans="1:18" x14ac:dyDescent="0.2">
      <c r="A40" s="708"/>
      <c r="B40" s="697" t="s">
        <v>94</v>
      </c>
      <c r="C40" s="698">
        <v>45</v>
      </c>
      <c r="D40" s="698"/>
      <c r="E40" s="712" t="s">
        <v>478</v>
      </c>
      <c r="F40" s="708"/>
      <c r="G40" s="711" t="s">
        <v>95</v>
      </c>
      <c r="H40" s="713">
        <v>-3064.2939999999999</v>
      </c>
      <c r="I40" s="713">
        <v>-3090.9369999999999</v>
      </c>
      <c r="J40" s="713">
        <v>-3108.8710000000001</v>
      </c>
      <c r="K40" s="713">
        <v>-4220.6769999999997</v>
      </c>
      <c r="L40" s="713">
        <v>-3432.6309999999999</v>
      </c>
      <c r="M40" s="713">
        <v>-7557</v>
      </c>
      <c r="N40" s="713">
        <v>-8557</v>
      </c>
      <c r="O40" s="713">
        <v>-5700</v>
      </c>
      <c r="P40" s="713">
        <v>-5500</v>
      </c>
      <c r="Q40" s="713">
        <v>-5500</v>
      </c>
      <c r="R40" s="713">
        <v>-5500</v>
      </c>
    </row>
    <row r="41" spans="1:18" x14ac:dyDescent="0.2">
      <c r="A41" s="708"/>
      <c r="B41" s="697" t="s">
        <v>96</v>
      </c>
      <c r="C41" s="698" t="s">
        <v>97</v>
      </c>
      <c r="D41" s="698"/>
      <c r="E41" s="696"/>
      <c r="F41" s="708"/>
      <c r="G41" s="711" t="s">
        <v>98</v>
      </c>
      <c r="H41" s="710">
        <f t="shared" ref="H41:R41" si="10">SUM(H42:H45)</f>
        <v>-1531.3530000000001</v>
      </c>
      <c r="I41" s="710">
        <f t="shared" si="10"/>
        <v>-1678.1279999999999</v>
      </c>
      <c r="J41" s="728">
        <f t="shared" si="10"/>
        <v>-1551.566</v>
      </c>
      <c r="K41" s="710">
        <f t="shared" si="10"/>
        <v>-1654.078</v>
      </c>
      <c r="L41" s="710">
        <f t="shared" si="10"/>
        <v>-1907.2890000000002</v>
      </c>
      <c r="M41" s="710">
        <f t="shared" si="10"/>
        <v>-1868</v>
      </c>
      <c r="N41" s="710">
        <f t="shared" si="10"/>
        <v>-1793</v>
      </c>
      <c r="O41" s="710">
        <f t="shared" si="10"/>
        <v>-1670</v>
      </c>
      <c r="P41" s="710">
        <f t="shared" si="10"/>
        <v>-1670</v>
      </c>
      <c r="Q41" s="710">
        <f t="shared" si="10"/>
        <v>-1670</v>
      </c>
      <c r="R41" s="710">
        <f t="shared" si="10"/>
        <v>-1670</v>
      </c>
    </row>
    <row r="42" spans="1:18" x14ac:dyDescent="0.2">
      <c r="A42" s="708"/>
      <c r="B42" s="697" t="s">
        <v>99</v>
      </c>
      <c r="C42" s="698">
        <v>50</v>
      </c>
      <c r="D42" s="698"/>
      <c r="E42" s="712" t="s">
        <v>478</v>
      </c>
      <c r="F42" s="708"/>
      <c r="G42" s="711" t="s">
        <v>100</v>
      </c>
      <c r="H42" s="713">
        <v>-567.96</v>
      </c>
      <c r="I42" s="713">
        <v>-564.54499999999996</v>
      </c>
      <c r="J42" s="713">
        <v>-563.20399999999995</v>
      </c>
      <c r="K42" s="713">
        <v>-605.81899999999996</v>
      </c>
      <c r="L42" s="713">
        <v>-685.71600000000001</v>
      </c>
      <c r="M42" s="713">
        <v>-645</v>
      </c>
      <c r="N42" s="713">
        <v>-667</v>
      </c>
      <c r="O42" s="713">
        <v>-650</v>
      </c>
      <c r="P42" s="713">
        <v>-650</v>
      </c>
      <c r="Q42" s="713">
        <v>-650</v>
      </c>
      <c r="R42" s="713">
        <v>-650</v>
      </c>
    </row>
    <row r="43" spans="1:18" x14ac:dyDescent="0.2">
      <c r="A43" s="708"/>
      <c r="B43" s="697" t="s">
        <v>101</v>
      </c>
      <c r="C43" s="698">
        <v>55</v>
      </c>
      <c r="D43" s="698"/>
      <c r="E43" s="712" t="s">
        <v>478</v>
      </c>
      <c r="F43" s="708"/>
      <c r="G43" s="711" t="s">
        <v>102</v>
      </c>
      <c r="H43" s="713">
        <f>-6.371-230.597-666.953</f>
        <v>-903.92100000000005</v>
      </c>
      <c r="I43" s="713">
        <f>-51.208-203.986-800.437</f>
        <v>-1055.6310000000001</v>
      </c>
      <c r="J43" s="713">
        <f>-227.208-714.023</f>
        <v>-941.23099999999999</v>
      </c>
      <c r="K43" s="713">
        <f>-236.508-753.41</f>
        <v>-989.91800000000001</v>
      </c>
      <c r="L43" s="713">
        <f>-256.882-914.374</f>
        <v>-1171.2560000000001</v>
      </c>
      <c r="M43" s="713">
        <v>-1118</v>
      </c>
      <c r="N43" s="713">
        <v>-1040</v>
      </c>
      <c r="O43" s="713">
        <v>-940</v>
      </c>
      <c r="P43" s="713">
        <v>-940</v>
      </c>
      <c r="Q43" s="713">
        <v>-940</v>
      </c>
      <c r="R43" s="713">
        <v>-940</v>
      </c>
    </row>
    <row r="44" spans="1:18" x14ac:dyDescent="0.2">
      <c r="A44" s="708"/>
      <c r="B44" s="697" t="s">
        <v>103</v>
      </c>
      <c r="C44" s="698">
        <v>60</v>
      </c>
      <c r="D44" s="698"/>
      <c r="E44" s="712" t="s">
        <v>478</v>
      </c>
      <c r="F44" s="708"/>
      <c r="G44" s="711" t="s">
        <v>104</v>
      </c>
      <c r="H44" s="713">
        <v>-0.35399999999999998</v>
      </c>
      <c r="I44" s="713">
        <v>-0.91700000000000004</v>
      </c>
      <c r="J44" s="713">
        <v>-0.20100000000000001</v>
      </c>
      <c r="K44" s="713">
        <v>-0.56000000000000005</v>
      </c>
      <c r="L44" s="713">
        <v>-9.8000000000000004E-2</v>
      </c>
      <c r="M44" s="713">
        <v>-48</v>
      </c>
      <c r="N44" s="713">
        <v>-40</v>
      </c>
      <c r="O44" s="713">
        <v>-40</v>
      </c>
      <c r="P44" s="713">
        <v>-40</v>
      </c>
      <c r="Q44" s="713">
        <v>-40</v>
      </c>
      <c r="R44" s="713">
        <v>-40</v>
      </c>
    </row>
    <row r="45" spans="1:18" x14ac:dyDescent="0.2">
      <c r="A45" s="708"/>
      <c r="B45" s="697" t="s">
        <v>105</v>
      </c>
      <c r="C45" s="698">
        <v>61</v>
      </c>
      <c r="D45" s="698"/>
      <c r="E45" s="712" t="s">
        <v>478</v>
      </c>
      <c r="F45" s="708"/>
      <c r="G45" s="711" t="s">
        <v>106</v>
      </c>
      <c r="H45" s="713">
        <v>-59.118000000000002</v>
      </c>
      <c r="I45" s="713">
        <v>-57.034999999999997</v>
      </c>
      <c r="J45" s="713">
        <v>-46.93</v>
      </c>
      <c r="K45" s="713">
        <v>-57.780999999999999</v>
      </c>
      <c r="L45" s="713">
        <v>-50.219000000000001</v>
      </c>
      <c r="M45" s="713">
        <v>-57</v>
      </c>
      <c r="N45" s="713">
        <v>-46</v>
      </c>
      <c r="O45" s="713">
        <v>-40</v>
      </c>
      <c r="P45" s="713">
        <v>-40</v>
      </c>
      <c r="Q45" s="713">
        <v>-40</v>
      </c>
      <c r="R45" s="713">
        <v>-40</v>
      </c>
    </row>
    <row r="46" spans="1:18" x14ac:dyDescent="0.2">
      <c r="A46" s="708"/>
      <c r="B46" s="697" t="s">
        <v>107</v>
      </c>
      <c r="C46" s="698"/>
      <c r="D46" s="698"/>
      <c r="E46" s="696"/>
      <c r="F46" s="708"/>
      <c r="G46" s="711" t="s">
        <v>108</v>
      </c>
      <c r="H46" s="710">
        <f t="shared" ref="H46:R46" si="11">H33+H38+H41</f>
        <v>-109.06400000000031</v>
      </c>
      <c r="I46" s="710">
        <f t="shared" si="11"/>
        <v>34.422000000000253</v>
      </c>
      <c r="J46" s="710">
        <f t="shared" si="11"/>
        <v>94.341000000000122</v>
      </c>
      <c r="K46" s="710">
        <f t="shared" si="11"/>
        <v>18.878000000000156</v>
      </c>
      <c r="L46" s="710">
        <f t="shared" si="11"/>
        <v>-4.7479999999995925</v>
      </c>
      <c r="M46" s="710">
        <f t="shared" si="11"/>
        <v>-84.399999999999636</v>
      </c>
      <c r="N46" s="710">
        <f t="shared" si="11"/>
        <v>0</v>
      </c>
      <c r="O46" s="710">
        <f t="shared" si="11"/>
        <v>0</v>
      </c>
      <c r="P46" s="710">
        <f t="shared" si="11"/>
        <v>0</v>
      </c>
      <c r="Q46" s="710">
        <f t="shared" si="11"/>
        <v>0</v>
      </c>
      <c r="R46" s="710">
        <f t="shared" si="11"/>
        <v>0</v>
      </c>
    </row>
    <row r="47" spans="1:18" x14ac:dyDescent="0.2">
      <c r="A47" s="708"/>
      <c r="B47" s="697" t="s">
        <v>109</v>
      </c>
      <c r="C47" s="698">
        <v>65</v>
      </c>
      <c r="D47" s="698"/>
      <c r="E47" s="712" t="s">
        <v>477</v>
      </c>
      <c r="F47" s="708"/>
      <c r="G47" s="711" t="s">
        <v>110</v>
      </c>
      <c r="H47" s="713">
        <v>0.97299999999999998</v>
      </c>
      <c r="I47" s="713">
        <v>4.5999999999999999E-2</v>
      </c>
      <c r="J47" s="713">
        <v>1.4999999999999999E-2</v>
      </c>
      <c r="K47" s="713">
        <v>5.0999999999999997E-2</v>
      </c>
      <c r="L47" s="713">
        <v>2.3170000000000002</v>
      </c>
      <c r="M47" s="713">
        <v>3.3</v>
      </c>
      <c r="N47" s="713">
        <v>0</v>
      </c>
      <c r="O47" s="713">
        <v>0</v>
      </c>
      <c r="P47" s="713">
        <v>0</v>
      </c>
      <c r="Q47" s="713">
        <v>0</v>
      </c>
      <c r="R47" s="713">
        <v>0</v>
      </c>
    </row>
    <row r="48" spans="1:18" x14ac:dyDescent="0.2">
      <c r="A48" s="708"/>
      <c r="B48" s="697" t="s">
        <v>111</v>
      </c>
      <c r="C48" s="698"/>
      <c r="D48" s="698"/>
      <c r="E48" s="696"/>
      <c r="F48" s="708"/>
      <c r="G48" s="711" t="s">
        <v>112</v>
      </c>
      <c r="H48" s="710">
        <f t="shared" ref="H48:R48" si="12">H46+H47</f>
        <v>-108.09100000000031</v>
      </c>
      <c r="I48" s="710">
        <f t="shared" si="12"/>
        <v>34.468000000000252</v>
      </c>
      <c r="J48" s="710">
        <f t="shared" si="12"/>
        <v>94.356000000000122</v>
      </c>
      <c r="K48" s="710">
        <f t="shared" si="12"/>
        <v>18.929000000000155</v>
      </c>
      <c r="L48" s="710">
        <f t="shared" si="12"/>
        <v>-2.4309999999995924</v>
      </c>
      <c r="M48" s="710">
        <f t="shared" si="12"/>
        <v>-81.099999999999639</v>
      </c>
      <c r="N48" s="710">
        <f t="shared" si="12"/>
        <v>0</v>
      </c>
      <c r="O48" s="710">
        <f t="shared" si="12"/>
        <v>0</v>
      </c>
      <c r="P48" s="710">
        <f t="shared" si="12"/>
        <v>0</v>
      </c>
      <c r="Q48" s="710">
        <f t="shared" si="12"/>
        <v>0</v>
      </c>
      <c r="R48" s="710">
        <f t="shared" si="12"/>
        <v>0</v>
      </c>
    </row>
    <row r="49" spans="1:18" x14ac:dyDescent="0.2">
      <c r="A49" s="708"/>
      <c r="B49" s="697" t="s">
        <v>113</v>
      </c>
      <c r="C49" s="698">
        <v>68</v>
      </c>
      <c r="D49" s="698"/>
      <c r="E49" s="712" t="s">
        <v>478</v>
      </c>
      <c r="F49" s="708"/>
      <c r="G49" s="711" t="s">
        <v>114</v>
      </c>
      <c r="H49" s="713">
        <v>0</v>
      </c>
      <c r="I49" s="713">
        <v>0</v>
      </c>
      <c r="J49" s="713">
        <v>0</v>
      </c>
      <c r="K49" s="713">
        <v>0</v>
      </c>
      <c r="L49" s="713">
        <v>0</v>
      </c>
      <c r="M49" s="713">
        <v>0</v>
      </c>
      <c r="N49" s="713">
        <v>0</v>
      </c>
      <c r="O49" s="713">
        <v>0</v>
      </c>
      <c r="P49" s="713">
        <v>0</v>
      </c>
      <c r="Q49" s="713">
        <v>0</v>
      </c>
      <c r="R49" s="713">
        <v>0</v>
      </c>
    </row>
    <row r="50" spans="1:18" x14ac:dyDescent="0.2">
      <c r="A50" s="708"/>
      <c r="B50" s="697" t="s">
        <v>115</v>
      </c>
      <c r="C50" s="698">
        <v>69</v>
      </c>
      <c r="D50" s="698"/>
      <c r="E50" s="712" t="s">
        <v>14</v>
      </c>
      <c r="F50" s="708"/>
      <c r="G50" s="711" t="s">
        <v>116</v>
      </c>
      <c r="H50" s="713">
        <v>0</v>
      </c>
      <c r="I50" s="713">
        <v>0</v>
      </c>
      <c r="J50" s="713">
        <v>0</v>
      </c>
      <c r="K50" s="713">
        <v>0</v>
      </c>
      <c r="L50" s="713">
        <v>0</v>
      </c>
      <c r="M50" s="713">
        <v>0</v>
      </c>
      <c r="N50" s="713">
        <v>0</v>
      </c>
      <c r="O50" s="713">
        <v>0</v>
      </c>
      <c r="P50" s="713">
        <v>0</v>
      </c>
      <c r="Q50" s="713">
        <v>0</v>
      </c>
      <c r="R50" s="713">
        <v>0</v>
      </c>
    </row>
    <row r="51" spans="1:18" x14ac:dyDescent="0.2">
      <c r="A51" s="708"/>
      <c r="B51" s="697" t="s">
        <v>117</v>
      </c>
      <c r="C51" s="698"/>
      <c r="D51" s="698"/>
      <c r="E51" s="696"/>
      <c r="F51" s="708"/>
      <c r="G51" s="711" t="s">
        <v>118</v>
      </c>
      <c r="H51" s="710">
        <f t="shared" ref="H51:R51" si="13">H48+H49+H50</f>
        <v>-108.09100000000031</v>
      </c>
      <c r="I51" s="710">
        <f t="shared" si="13"/>
        <v>34.468000000000252</v>
      </c>
      <c r="J51" s="710">
        <f t="shared" si="13"/>
        <v>94.356000000000122</v>
      </c>
      <c r="K51" s="710">
        <f t="shared" si="13"/>
        <v>18.929000000000155</v>
      </c>
      <c r="L51" s="710">
        <f t="shared" si="13"/>
        <v>-2.4309999999995924</v>
      </c>
      <c r="M51" s="710">
        <f t="shared" si="13"/>
        <v>-81.099999999999639</v>
      </c>
      <c r="N51" s="710">
        <f t="shared" si="13"/>
        <v>0</v>
      </c>
      <c r="O51" s="710">
        <f t="shared" si="13"/>
        <v>0</v>
      </c>
      <c r="P51" s="710">
        <f t="shared" si="13"/>
        <v>0</v>
      </c>
      <c r="Q51" s="710">
        <f t="shared" si="13"/>
        <v>0</v>
      </c>
      <c r="R51" s="710">
        <f t="shared" si="13"/>
        <v>0</v>
      </c>
    </row>
    <row r="52" spans="1:18" x14ac:dyDescent="0.2">
      <c r="A52" s="729"/>
      <c r="B52" s="697"/>
      <c r="C52" s="730"/>
      <c r="D52" s="730"/>
      <c r="E52" s="731"/>
      <c r="F52" s="729"/>
      <c r="G52" s="725" t="s">
        <v>119</v>
      </c>
      <c r="H52" s="726">
        <f t="shared" ref="H52:R52" si="14">H30-H51</f>
        <v>3.1263880373444408E-13</v>
      </c>
      <c r="I52" s="726">
        <f t="shared" si="14"/>
        <v>-2.4868995751603507E-13</v>
      </c>
      <c r="J52" s="726">
        <f t="shared" si="14"/>
        <v>-1.2789769243681803E-13</v>
      </c>
      <c r="K52" s="726">
        <f t="shared" si="14"/>
        <v>-1.5631940186722204E-13</v>
      </c>
      <c r="L52" s="726">
        <f t="shared" si="14"/>
        <v>-4.0767389464235748E-13</v>
      </c>
      <c r="M52" s="726">
        <f t="shared" si="14"/>
        <v>9.9999999999639044E-2</v>
      </c>
      <c r="N52" s="726">
        <f t="shared" si="14"/>
        <v>0</v>
      </c>
      <c r="O52" s="726">
        <f t="shared" si="14"/>
        <v>0</v>
      </c>
      <c r="P52" s="726">
        <f t="shared" si="14"/>
        <v>0</v>
      </c>
      <c r="Q52" s="726">
        <f t="shared" si="14"/>
        <v>0</v>
      </c>
      <c r="R52" s="726">
        <f t="shared" si="14"/>
        <v>0</v>
      </c>
    </row>
    <row r="53" spans="1:18" x14ac:dyDescent="0.2">
      <c r="A53" s="708"/>
      <c r="B53" s="697"/>
      <c r="C53" s="698"/>
      <c r="D53" s="698"/>
      <c r="E53" s="696"/>
      <c r="F53" s="708"/>
      <c r="G53" s="732" t="s">
        <v>120</v>
      </c>
      <c r="H53" s="699"/>
      <c r="I53" s="699"/>
      <c r="J53" s="699"/>
      <c r="K53" s="699"/>
      <c r="L53" s="699"/>
      <c r="M53" s="699"/>
      <c r="N53" s="699"/>
      <c r="O53" s="699"/>
      <c r="P53" s="699"/>
      <c r="Q53" s="699"/>
      <c r="R53" s="699"/>
    </row>
    <row r="54" spans="1:18" x14ac:dyDescent="0.2">
      <c r="A54" s="708"/>
      <c r="B54" s="697"/>
      <c r="C54" s="698">
        <v>90</v>
      </c>
      <c r="D54" s="698"/>
      <c r="E54" s="712" t="s">
        <v>14</v>
      </c>
      <c r="F54" s="708"/>
      <c r="G54" s="732" t="s">
        <v>121</v>
      </c>
      <c r="H54" s="713">
        <v>27</v>
      </c>
      <c r="I54" s="713">
        <v>27</v>
      </c>
      <c r="J54" s="713">
        <v>29</v>
      </c>
      <c r="K54" s="713">
        <v>30</v>
      </c>
      <c r="L54" s="713">
        <v>30</v>
      </c>
      <c r="M54" s="713">
        <v>26</v>
      </c>
      <c r="N54" s="713">
        <v>26</v>
      </c>
      <c r="O54" s="713">
        <v>26</v>
      </c>
      <c r="P54" s="713">
        <v>26</v>
      </c>
      <c r="Q54" s="713">
        <v>26</v>
      </c>
      <c r="R54" s="713">
        <v>26</v>
      </c>
    </row>
    <row r="55" spans="1:18" x14ac:dyDescent="0.2">
      <c r="A55" s="708"/>
      <c r="B55" s="697"/>
      <c r="C55" s="698"/>
      <c r="D55" s="698"/>
      <c r="E55" s="712" t="s">
        <v>14</v>
      </c>
      <c r="F55" s="708"/>
      <c r="G55" s="732" t="s">
        <v>122</v>
      </c>
      <c r="H55" s="713"/>
      <c r="I55" s="713"/>
      <c r="J55" s="713"/>
      <c r="K55" s="713"/>
      <c r="L55" s="733"/>
      <c r="M55" s="733"/>
      <c r="N55" s="733"/>
      <c r="O55" s="733"/>
      <c r="P55" s="733"/>
      <c r="Q55" s="733"/>
      <c r="R55" s="733"/>
    </row>
    <row r="56" spans="1:18" x14ac:dyDescent="0.2">
      <c r="A56" s="708"/>
      <c r="B56" s="697"/>
      <c r="C56" s="698"/>
      <c r="D56" s="698"/>
      <c r="E56" s="696"/>
      <c r="F56" s="708"/>
      <c r="G56" s="734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</row>
    <row r="57" spans="1:18" x14ac:dyDescent="0.2">
      <c r="A57" s="708"/>
      <c r="B57" s="697"/>
      <c r="C57" s="698"/>
      <c r="D57" s="735" t="s">
        <v>123</v>
      </c>
      <c r="E57" s="700" t="s">
        <v>3</v>
      </c>
      <c r="F57" s="696"/>
      <c r="G57" s="706" t="s">
        <v>124</v>
      </c>
      <c r="H57" s="727">
        <f t="shared" ref="H57:R57" si="15">H32</f>
        <v>2011</v>
      </c>
      <c r="I57" s="727">
        <f t="shared" si="15"/>
        <v>2012</v>
      </c>
      <c r="J57" s="727">
        <f t="shared" si="15"/>
        <v>2013</v>
      </c>
      <c r="K57" s="727">
        <f t="shared" si="15"/>
        <v>2014</v>
      </c>
      <c r="L57" s="727">
        <f t="shared" si="15"/>
        <v>2015</v>
      </c>
      <c r="M57" s="727">
        <f t="shared" si="15"/>
        <v>2016</v>
      </c>
      <c r="N57" s="727">
        <f t="shared" si="15"/>
        <v>2017</v>
      </c>
      <c r="O57" s="727">
        <f t="shared" si="15"/>
        <v>2018</v>
      </c>
      <c r="P57" s="727">
        <f t="shared" si="15"/>
        <v>2019</v>
      </c>
      <c r="Q57" s="727">
        <f t="shared" si="15"/>
        <v>2020</v>
      </c>
      <c r="R57" s="727">
        <f t="shared" si="15"/>
        <v>2021</v>
      </c>
    </row>
    <row r="58" spans="1:18" x14ac:dyDescent="0.2">
      <c r="A58" s="708"/>
      <c r="B58" s="736" t="s">
        <v>125</v>
      </c>
      <c r="C58" s="708" t="s">
        <v>126</v>
      </c>
      <c r="D58" s="737" t="s">
        <v>127</v>
      </c>
      <c r="E58" s="712" t="s">
        <v>478</v>
      </c>
      <c r="F58" s="714"/>
      <c r="G58" s="709" t="s">
        <v>128</v>
      </c>
      <c r="H58" s="713">
        <v>-11.377000000000001</v>
      </c>
      <c r="I58" s="713">
        <v>-3.895</v>
      </c>
      <c r="J58" s="713">
        <v>-118.99</v>
      </c>
      <c r="K58" s="713">
        <v>0</v>
      </c>
      <c r="L58" s="713">
        <v>-4.6769999999999996</v>
      </c>
      <c r="M58" s="713">
        <v>0</v>
      </c>
      <c r="N58" s="713">
        <v>0</v>
      </c>
      <c r="O58" s="713">
        <v>0</v>
      </c>
      <c r="P58" s="713">
        <v>0</v>
      </c>
      <c r="Q58" s="713">
        <v>0</v>
      </c>
      <c r="R58" s="713">
        <v>0</v>
      </c>
    </row>
    <row r="59" spans="1:18" x14ac:dyDescent="0.2">
      <c r="A59" s="708"/>
      <c r="B59" s="736" t="s">
        <v>129</v>
      </c>
      <c r="C59" s="738" t="s">
        <v>130</v>
      </c>
      <c r="D59" s="737" t="s">
        <v>131</v>
      </c>
      <c r="E59" s="712" t="s">
        <v>14</v>
      </c>
      <c r="F59" s="714"/>
      <c r="G59" s="739" t="s">
        <v>132</v>
      </c>
      <c r="H59" s="713">
        <v>0</v>
      </c>
      <c r="I59" s="713">
        <v>0</v>
      </c>
      <c r="J59" s="713">
        <v>0</v>
      </c>
      <c r="K59" s="713">
        <v>0</v>
      </c>
      <c r="L59" s="713">
        <v>0</v>
      </c>
      <c r="M59" s="713">
        <v>0</v>
      </c>
      <c r="N59" s="713">
        <v>0</v>
      </c>
      <c r="O59" s="713">
        <v>0</v>
      </c>
      <c r="P59" s="713">
        <v>0</v>
      </c>
      <c r="Q59" s="713">
        <v>0</v>
      </c>
      <c r="R59" s="713">
        <v>0</v>
      </c>
    </row>
    <row r="60" spans="1:18" x14ac:dyDescent="0.2">
      <c r="A60" s="708"/>
      <c r="B60" s="736" t="s">
        <v>133</v>
      </c>
      <c r="C60" s="740" t="s">
        <v>134</v>
      </c>
      <c r="D60" s="737" t="s">
        <v>135</v>
      </c>
      <c r="E60" s="712" t="s">
        <v>14</v>
      </c>
      <c r="F60" s="714"/>
      <c r="G60" s="711" t="s">
        <v>136</v>
      </c>
      <c r="H60" s="713">
        <v>0</v>
      </c>
      <c r="I60" s="713">
        <v>0</v>
      </c>
      <c r="J60" s="713">
        <v>0</v>
      </c>
      <c r="K60" s="713">
        <v>0</v>
      </c>
      <c r="L60" s="713">
        <v>0</v>
      </c>
      <c r="M60" s="713">
        <v>0</v>
      </c>
      <c r="N60" s="713">
        <v>0</v>
      </c>
      <c r="O60" s="713">
        <v>0</v>
      </c>
      <c r="P60" s="713">
        <v>0</v>
      </c>
      <c r="Q60" s="713">
        <v>0</v>
      </c>
      <c r="R60" s="713">
        <v>0</v>
      </c>
    </row>
    <row r="61" spans="1:18" x14ac:dyDescent="0.2">
      <c r="A61" s="708"/>
      <c r="B61" s="736" t="s">
        <v>137</v>
      </c>
      <c r="C61" s="740" t="s">
        <v>138</v>
      </c>
      <c r="D61" s="740" t="s">
        <v>139</v>
      </c>
      <c r="E61" s="712" t="s">
        <v>478</v>
      </c>
      <c r="F61" s="714"/>
      <c r="G61" s="711" t="s">
        <v>140</v>
      </c>
      <c r="H61" s="713">
        <v>0</v>
      </c>
      <c r="I61" s="713">
        <v>0</v>
      </c>
      <c r="J61" s="713">
        <v>0</v>
      </c>
      <c r="K61" s="713">
        <v>0</v>
      </c>
      <c r="L61" s="713">
        <v>0</v>
      </c>
      <c r="M61" s="713">
        <v>0</v>
      </c>
      <c r="N61" s="713">
        <v>0</v>
      </c>
      <c r="O61" s="713">
        <v>0</v>
      </c>
      <c r="P61" s="713">
        <v>0</v>
      </c>
      <c r="Q61" s="713">
        <v>0</v>
      </c>
      <c r="R61" s="713">
        <v>0</v>
      </c>
    </row>
    <row r="62" spans="1:18" x14ac:dyDescent="0.2">
      <c r="A62" s="708"/>
      <c r="B62" s="736" t="s">
        <v>141</v>
      </c>
      <c r="C62" s="698">
        <v>253800</v>
      </c>
      <c r="D62" s="740" t="s">
        <v>135</v>
      </c>
      <c r="E62" s="712" t="s">
        <v>14</v>
      </c>
      <c r="F62" s="714"/>
      <c r="G62" s="711" t="s">
        <v>142</v>
      </c>
      <c r="H62" s="713">
        <v>0</v>
      </c>
      <c r="I62" s="713">
        <v>0</v>
      </c>
      <c r="J62" s="713">
        <v>0</v>
      </c>
      <c r="K62" s="713">
        <v>0</v>
      </c>
      <c r="L62" s="713">
        <v>0</v>
      </c>
      <c r="M62" s="713">
        <v>0</v>
      </c>
      <c r="N62" s="713">
        <v>0</v>
      </c>
      <c r="O62" s="713">
        <v>0</v>
      </c>
      <c r="P62" s="713">
        <v>0</v>
      </c>
      <c r="Q62" s="713">
        <v>0</v>
      </c>
      <c r="R62" s="713">
        <v>0</v>
      </c>
    </row>
    <row r="63" spans="1:18" x14ac:dyDescent="0.2">
      <c r="A63" s="708"/>
      <c r="B63" s="736" t="s">
        <v>143</v>
      </c>
      <c r="C63" s="698">
        <v>150</v>
      </c>
      <c r="D63" s="740" t="s">
        <v>139</v>
      </c>
      <c r="E63" s="712" t="s">
        <v>478</v>
      </c>
      <c r="F63" s="714"/>
      <c r="G63" s="711" t="s">
        <v>144</v>
      </c>
      <c r="H63" s="713">
        <v>0</v>
      </c>
      <c r="I63" s="713">
        <v>0</v>
      </c>
      <c r="J63" s="713">
        <v>0</v>
      </c>
      <c r="K63" s="713">
        <v>0</v>
      </c>
      <c r="L63" s="713">
        <v>0</v>
      </c>
      <c r="M63" s="713">
        <v>0</v>
      </c>
      <c r="N63" s="713">
        <v>0</v>
      </c>
      <c r="O63" s="713">
        <v>0</v>
      </c>
      <c r="P63" s="713">
        <v>0</v>
      </c>
      <c r="Q63" s="713">
        <v>0</v>
      </c>
      <c r="R63" s="713">
        <v>0</v>
      </c>
    </row>
    <row r="64" spans="1:18" x14ac:dyDescent="0.2">
      <c r="A64" s="708"/>
      <c r="B64" s="736" t="s">
        <v>145</v>
      </c>
      <c r="C64" s="740" t="s">
        <v>146</v>
      </c>
      <c r="D64" s="740" t="s">
        <v>135</v>
      </c>
      <c r="E64" s="712" t="s">
        <v>14</v>
      </c>
      <c r="F64" s="714"/>
      <c r="G64" s="711" t="s">
        <v>147</v>
      </c>
      <c r="H64" s="713">
        <v>0</v>
      </c>
      <c r="I64" s="713">
        <v>0</v>
      </c>
      <c r="J64" s="713">
        <v>0</v>
      </c>
      <c r="K64" s="713">
        <v>0</v>
      </c>
      <c r="L64" s="713">
        <v>0</v>
      </c>
      <c r="M64" s="713">
        <v>0</v>
      </c>
      <c r="N64" s="713">
        <v>0</v>
      </c>
      <c r="O64" s="713">
        <v>0</v>
      </c>
      <c r="P64" s="713">
        <v>0</v>
      </c>
      <c r="Q64" s="713">
        <v>0</v>
      </c>
      <c r="R64" s="713">
        <v>0</v>
      </c>
    </row>
    <row r="65" spans="1:18" x14ac:dyDescent="0.2">
      <c r="A65" s="708"/>
      <c r="B65" s="736" t="s">
        <v>148</v>
      </c>
      <c r="C65" s="708" t="s">
        <v>149</v>
      </c>
      <c r="D65" s="740" t="s">
        <v>139</v>
      </c>
      <c r="E65" s="712" t="s">
        <v>478</v>
      </c>
      <c r="F65" s="714"/>
      <c r="G65" s="711" t="s">
        <v>150</v>
      </c>
      <c r="H65" s="713">
        <v>0</v>
      </c>
      <c r="I65" s="713">
        <v>0</v>
      </c>
      <c r="J65" s="713">
        <v>0</v>
      </c>
      <c r="K65" s="713">
        <v>0</v>
      </c>
      <c r="L65" s="713">
        <v>0</v>
      </c>
      <c r="M65" s="713">
        <v>0</v>
      </c>
      <c r="N65" s="713">
        <v>0</v>
      </c>
      <c r="O65" s="713">
        <v>0</v>
      </c>
      <c r="P65" s="713">
        <v>0</v>
      </c>
      <c r="Q65" s="713">
        <v>0</v>
      </c>
      <c r="R65" s="713">
        <v>0</v>
      </c>
    </row>
    <row r="66" spans="1:18" x14ac:dyDescent="0.2">
      <c r="A66" s="708"/>
      <c r="B66" s="736" t="s">
        <v>151</v>
      </c>
      <c r="C66" s="708" t="s">
        <v>149</v>
      </c>
      <c r="D66" s="740" t="s">
        <v>135</v>
      </c>
      <c r="E66" s="712" t="s">
        <v>14</v>
      </c>
      <c r="F66" s="714"/>
      <c r="G66" s="711" t="s">
        <v>152</v>
      </c>
      <c r="H66" s="713">
        <v>0</v>
      </c>
      <c r="I66" s="713">
        <v>0</v>
      </c>
      <c r="J66" s="713">
        <v>0</v>
      </c>
      <c r="K66" s="713">
        <v>0</v>
      </c>
      <c r="L66" s="713">
        <v>0</v>
      </c>
      <c r="M66" s="713">
        <v>0</v>
      </c>
      <c r="N66" s="713">
        <v>0</v>
      </c>
      <c r="O66" s="713">
        <v>0</v>
      </c>
      <c r="P66" s="713">
        <v>0</v>
      </c>
      <c r="Q66" s="713">
        <v>0</v>
      </c>
      <c r="R66" s="713">
        <v>0</v>
      </c>
    </row>
    <row r="67" spans="1:18" x14ac:dyDescent="0.2">
      <c r="A67" s="708"/>
      <c r="B67" s="736" t="s">
        <v>153</v>
      </c>
      <c r="C67" s="708" t="s">
        <v>154</v>
      </c>
      <c r="D67" s="740" t="s">
        <v>139</v>
      </c>
      <c r="E67" s="712" t="s">
        <v>478</v>
      </c>
      <c r="F67" s="714"/>
      <c r="G67" s="711" t="s">
        <v>155</v>
      </c>
      <c r="H67" s="713">
        <v>0</v>
      </c>
      <c r="I67" s="713">
        <v>0</v>
      </c>
      <c r="J67" s="713">
        <v>0</v>
      </c>
      <c r="K67" s="713">
        <v>0</v>
      </c>
      <c r="L67" s="713">
        <v>0</v>
      </c>
      <c r="M67" s="713">
        <v>0</v>
      </c>
      <c r="N67" s="713">
        <v>0</v>
      </c>
      <c r="O67" s="713">
        <v>0</v>
      </c>
      <c r="P67" s="713">
        <v>0</v>
      </c>
      <c r="Q67" s="713">
        <v>0</v>
      </c>
      <c r="R67" s="713">
        <v>0</v>
      </c>
    </row>
    <row r="68" spans="1:18" x14ac:dyDescent="0.2">
      <c r="A68" s="708"/>
      <c r="B68" s="736" t="s">
        <v>156</v>
      </c>
      <c r="C68" s="708" t="s">
        <v>154</v>
      </c>
      <c r="D68" s="740" t="s">
        <v>135</v>
      </c>
      <c r="E68" s="712" t="s">
        <v>14</v>
      </c>
      <c r="F68" s="714"/>
      <c r="G68" s="711" t="s">
        <v>157</v>
      </c>
      <c r="H68" s="713">
        <v>16.661000000000001</v>
      </c>
      <c r="I68" s="713">
        <v>0</v>
      </c>
      <c r="J68" s="713">
        <v>0</v>
      </c>
      <c r="K68" s="713">
        <v>0</v>
      </c>
      <c r="L68" s="713">
        <v>0</v>
      </c>
      <c r="M68" s="713">
        <v>0</v>
      </c>
      <c r="N68" s="713">
        <v>0</v>
      </c>
      <c r="O68" s="713">
        <v>0</v>
      </c>
      <c r="P68" s="713">
        <v>0</v>
      </c>
      <c r="Q68" s="713">
        <v>0</v>
      </c>
      <c r="R68" s="713">
        <v>0</v>
      </c>
    </row>
    <row r="69" spans="1:18" x14ac:dyDescent="0.2">
      <c r="A69" s="708"/>
      <c r="B69" s="736" t="s">
        <v>158</v>
      </c>
      <c r="C69" s="740" t="s">
        <v>146</v>
      </c>
      <c r="D69" s="740" t="s">
        <v>135</v>
      </c>
      <c r="E69" s="712" t="s">
        <v>14</v>
      </c>
      <c r="F69" s="714"/>
      <c r="G69" s="711" t="s">
        <v>159</v>
      </c>
      <c r="H69" s="713">
        <v>0</v>
      </c>
      <c r="I69" s="713">
        <v>0</v>
      </c>
      <c r="J69" s="713">
        <v>0</v>
      </c>
      <c r="K69" s="713">
        <v>0</v>
      </c>
      <c r="L69" s="713">
        <v>0</v>
      </c>
      <c r="M69" s="713">
        <v>0</v>
      </c>
      <c r="N69" s="713">
        <v>0</v>
      </c>
      <c r="O69" s="713">
        <v>0</v>
      </c>
      <c r="P69" s="713">
        <v>0</v>
      </c>
      <c r="Q69" s="713">
        <v>0</v>
      </c>
      <c r="R69" s="713">
        <v>0</v>
      </c>
    </row>
    <row r="70" spans="1:18" x14ac:dyDescent="0.2">
      <c r="A70" s="708"/>
      <c r="B70" s="736" t="s">
        <v>160</v>
      </c>
      <c r="C70" s="740" t="s">
        <v>161</v>
      </c>
      <c r="D70" s="708"/>
      <c r="E70" s="712" t="s">
        <v>477</v>
      </c>
      <c r="F70" s="714"/>
      <c r="G70" s="711" t="s">
        <v>110</v>
      </c>
      <c r="H70" s="713">
        <v>0.97299999999999998</v>
      </c>
      <c r="I70" s="713">
        <v>4.5999999999999999E-2</v>
      </c>
      <c r="J70" s="713">
        <v>1.4999999999999999E-2</v>
      </c>
      <c r="K70" s="713">
        <v>5.0999999999999997E-2</v>
      </c>
      <c r="L70" s="713">
        <v>2.3170000000000002</v>
      </c>
      <c r="M70" s="713">
        <v>0</v>
      </c>
      <c r="N70" s="713">
        <v>0</v>
      </c>
      <c r="O70" s="713">
        <v>0</v>
      </c>
      <c r="P70" s="713">
        <v>0</v>
      </c>
      <c r="Q70" s="713">
        <v>0</v>
      </c>
      <c r="R70" s="713">
        <v>0</v>
      </c>
    </row>
    <row r="71" spans="1:18" x14ac:dyDescent="0.2">
      <c r="A71" s="708"/>
      <c r="B71" s="736" t="s">
        <v>162</v>
      </c>
      <c r="C71" s="698"/>
      <c r="D71" s="708"/>
      <c r="E71" s="714"/>
      <c r="F71" s="714"/>
      <c r="G71" s="741" t="s">
        <v>163</v>
      </c>
      <c r="H71" s="710">
        <f t="shared" ref="H71:R71" si="16">SUM(H58:H70)</f>
        <v>6.2570000000000006</v>
      </c>
      <c r="I71" s="710">
        <f t="shared" si="16"/>
        <v>-3.8490000000000002</v>
      </c>
      <c r="J71" s="710">
        <f t="shared" si="16"/>
        <v>-118.97499999999999</v>
      </c>
      <c r="K71" s="710">
        <f t="shared" si="16"/>
        <v>5.0999999999999997E-2</v>
      </c>
      <c r="L71" s="710">
        <f t="shared" si="16"/>
        <v>-2.3599999999999994</v>
      </c>
      <c r="M71" s="710">
        <f t="shared" si="16"/>
        <v>0</v>
      </c>
      <c r="N71" s="710">
        <f t="shared" si="16"/>
        <v>0</v>
      </c>
      <c r="O71" s="710">
        <f t="shared" si="16"/>
        <v>0</v>
      </c>
      <c r="P71" s="710">
        <f t="shared" si="16"/>
        <v>0</v>
      </c>
      <c r="Q71" s="710">
        <f t="shared" si="16"/>
        <v>0</v>
      </c>
      <c r="R71" s="710">
        <f t="shared" si="16"/>
        <v>0</v>
      </c>
    </row>
    <row r="72" spans="1:18" x14ac:dyDescent="0.2">
      <c r="A72" s="708"/>
      <c r="B72" s="697"/>
      <c r="C72" s="698"/>
      <c r="D72" s="708"/>
      <c r="E72" s="696"/>
      <c r="F72" s="708"/>
      <c r="G72" s="734"/>
      <c r="H72" s="699"/>
      <c r="I72" s="699"/>
      <c r="J72" s="699"/>
      <c r="K72" s="699"/>
      <c r="L72" s="699"/>
      <c r="M72" s="699"/>
      <c r="N72" s="699"/>
      <c r="O72" s="699"/>
      <c r="P72" s="699"/>
      <c r="Q72" s="699"/>
      <c r="R72" s="699"/>
    </row>
    <row r="73" spans="1:18" x14ac:dyDescent="0.2">
      <c r="A73" s="708"/>
      <c r="B73" s="697"/>
      <c r="C73" s="698"/>
      <c r="D73" s="735" t="s">
        <v>123</v>
      </c>
      <c r="E73" s="700" t="s">
        <v>3</v>
      </c>
      <c r="F73" s="696"/>
      <c r="G73" s="706" t="s">
        <v>164</v>
      </c>
      <c r="H73" s="727">
        <f t="shared" ref="H73:R73" si="17">H57</f>
        <v>2011</v>
      </c>
      <c r="I73" s="727">
        <f t="shared" si="17"/>
        <v>2012</v>
      </c>
      <c r="J73" s="727">
        <f t="shared" si="17"/>
        <v>2013</v>
      </c>
      <c r="K73" s="727">
        <f t="shared" si="17"/>
        <v>2014</v>
      </c>
      <c r="L73" s="727">
        <f t="shared" si="17"/>
        <v>2015</v>
      </c>
      <c r="M73" s="727">
        <f t="shared" si="17"/>
        <v>2016</v>
      </c>
      <c r="N73" s="727">
        <f t="shared" si="17"/>
        <v>2017</v>
      </c>
      <c r="O73" s="727">
        <f t="shared" si="17"/>
        <v>2018</v>
      </c>
      <c r="P73" s="727">
        <f t="shared" si="17"/>
        <v>2019</v>
      </c>
      <c r="Q73" s="727">
        <f t="shared" si="17"/>
        <v>2020</v>
      </c>
      <c r="R73" s="727">
        <f t="shared" si="17"/>
        <v>2021</v>
      </c>
    </row>
    <row r="74" spans="1:18" x14ac:dyDescent="0.2">
      <c r="A74" s="708"/>
      <c r="B74" s="697" t="s">
        <v>165</v>
      </c>
      <c r="C74" s="740" t="s">
        <v>166</v>
      </c>
      <c r="D74" s="740" t="s">
        <v>131</v>
      </c>
      <c r="E74" s="712" t="s">
        <v>14</v>
      </c>
      <c r="F74" s="708"/>
      <c r="G74" s="709" t="s">
        <v>167</v>
      </c>
      <c r="H74" s="713">
        <v>0</v>
      </c>
      <c r="I74" s="713">
        <v>0</v>
      </c>
      <c r="J74" s="713">
        <v>0</v>
      </c>
      <c r="K74" s="713">
        <v>0</v>
      </c>
      <c r="L74" s="713">
        <v>0</v>
      </c>
      <c r="M74" s="713">
        <v>0</v>
      </c>
      <c r="N74" s="713">
        <v>0</v>
      </c>
      <c r="O74" s="713">
        <v>0</v>
      </c>
      <c r="P74" s="713">
        <v>0</v>
      </c>
      <c r="Q74" s="713">
        <v>0</v>
      </c>
      <c r="R74" s="713">
        <v>0</v>
      </c>
    </row>
    <row r="75" spans="1:18" x14ac:dyDescent="0.2">
      <c r="A75" s="708"/>
      <c r="B75" s="697" t="s">
        <v>168</v>
      </c>
      <c r="C75" s="740" t="s">
        <v>166</v>
      </c>
      <c r="D75" s="740" t="s">
        <v>127</v>
      </c>
      <c r="E75" s="712" t="s">
        <v>478</v>
      </c>
      <c r="F75" s="714"/>
      <c r="G75" s="711" t="s">
        <v>169</v>
      </c>
      <c r="H75" s="713">
        <v>0</v>
      </c>
      <c r="I75" s="713">
        <v>0</v>
      </c>
      <c r="J75" s="713">
        <v>0</v>
      </c>
      <c r="K75" s="713">
        <v>0</v>
      </c>
      <c r="L75" s="713">
        <v>0</v>
      </c>
      <c r="M75" s="713">
        <v>0</v>
      </c>
      <c r="N75" s="713">
        <v>0</v>
      </c>
      <c r="O75" s="713">
        <v>0</v>
      </c>
      <c r="P75" s="713">
        <v>0</v>
      </c>
      <c r="Q75" s="713">
        <v>0</v>
      </c>
      <c r="R75" s="713">
        <v>0</v>
      </c>
    </row>
    <row r="76" spans="1:18" x14ac:dyDescent="0.2">
      <c r="A76" s="708"/>
      <c r="B76" s="697" t="s">
        <v>170</v>
      </c>
      <c r="C76" s="740" t="s">
        <v>171</v>
      </c>
      <c r="D76" s="740" t="s">
        <v>135</v>
      </c>
      <c r="E76" s="712" t="s">
        <v>14</v>
      </c>
      <c r="F76" s="708"/>
      <c r="G76" s="711" t="s">
        <v>172</v>
      </c>
      <c r="H76" s="713">
        <v>0</v>
      </c>
      <c r="I76" s="713">
        <v>0</v>
      </c>
      <c r="J76" s="713">
        <v>0</v>
      </c>
      <c r="K76" s="713">
        <v>0</v>
      </c>
      <c r="L76" s="713">
        <v>0</v>
      </c>
      <c r="M76" s="713">
        <v>0</v>
      </c>
      <c r="N76" s="713">
        <v>0</v>
      </c>
      <c r="O76" s="713">
        <v>0</v>
      </c>
      <c r="P76" s="713">
        <v>0</v>
      </c>
      <c r="Q76" s="713">
        <v>0</v>
      </c>
      <c r="R76" s="713">
        <v>0</v>
      </c>
    </row>
    <row r="77" spans="1:18" x14ac:dyDescent="0.2">
      <c r="A77" s="708"/>
      <c r="B77" s="697" t="s">
        <v>173</v>
      </c>
      <c r="C77" s="740" t="s">
        <v>171</v>
      </c>
      <c r="D77" s="740" t="s">
        <v>139</v>
      </c>
      <c r="E77" s="712" t="s">
        <v>478</v>
      </c>
      <c r="F77" s="714"/>
      <c r="G77" s="711" t="s">
        <v>174</v>
      </c>
      <c r="H77" s="713">
        <v>0</v>
      </c>
      <c r="I77" s="713">
        <v>0</v>
      </c>
      <c r="J77" s="713">
        <v>0</v>
      </c>
      <c r="K77" s="713">
        <v>0</v>
      </c>
      <c r="L77" s="713">
        <v>0</v>
      </c>
      <c r="M77" s="713">
        <v>0</v>
      </c>
      <c r="N77" s="713">
        <v>0</v>
      </c>
      <c r="O77" s="713">
        <v>0</v>
      </c>
      <c r="P77" s="713">
        <v>0</v>
      </c>
      <c r="Q77" s="713">
        <v>0</v>
      </c>
      <c r="R77" s="713">
        <v>0</v>
      </c>
    </row>
    <row r="78" spans="1:18" x14ac:dyDescent="0.2">
      <c r="A78" s="708"/>
      <c r="B78" s="697" t="s">
        <v>175</v>
      </c>
      <c r="C78" s="740" t="s">
        <v>176</v>
      </c>
      <c r="D78" s="740" t="s">
        <v>139</v>
      </c>
      <c r="E78" s="712" t="s">
        <v>478</v>
      </c>
      <c r="F78" s="714"/>
      <c r="G78" s="711" t="s">
        <v>177</v>
      </c>
      <c r="H78" s="713">
        <v>0</v>
      </c>
      <c r="I78" s="713">
        <v>0</v>
      </c>
      <c r="J78" s="713">
        <v>0</v>
      </c>
      <c r="K78" s="713">
        <v>0</v>
      </c>
      <c r="L78" s="713">
        <v>0</v>
      </c>
      <c r="M78" s="713">
        <v>0</v>
      </c>
      <c r="N78" s="713">
        <v>0</v>
      </c>
      <c r="O78" s="713">
        <v>0</v>
      </c>
      <c r="P78" s="713">
        <v>0</v>
      </c>
      <c r="Q78" s="713">
        <v>0</v>
      </c>
      <c r="R78" s="713">
        <v>0</v>
      </c>
    </row>
    <row r="79" spans="1:18" x14ac:dyDescent="0.2">
      <c r="A79" s="708"/>
      <c r="B79" s="697" t="s">
        <v>178</v>
      </c>
      <c r="C79" s="740" t="s">
        <v>179</v>
      </c>
      <c r="D79" s="740" t="s">
        <v>139</v>
      </c>
      <c r="E79" s="712" t="s">
        <v>478</v>
      </c>
      <c r="F79" s="714"/>
      <c r="G79" s="711" t="s">
        <v>180</v>
      </c>
      <c r="H79" s="713">
        <v>0</v>
      </c>
      <c r="I79" s="713">
        <v>-2.5000000000000001E-2</v>
      </c>
      <c r="J79" s="713">
        <v>0</v>
      </c>
      <c r="K79" s="713">
        <v>-5.0000000000000001E-3</v>
      </c>
      <c r="L79" s="713">
        <v>-3.0000000000000001E-3</v>
      </c>
      <c r="M79" s="713">
        <v>0</v>
      </c>
      <c r="N79" s="713">
        <v>0</v>
      </c>
      <c r="O79" s="713">
        <v>0</v>
      </c>
      <c r="P79" s="713">
        <v>0</v>
      </c>
      <c r="Q79" s="713">
        <v>0</v>
      </c>
      <c r="R79" s="713">
        <v>0</v>
      </c>
    </row>
    <row r="80" spans="1:18" x14ac:dyDescent="0.2">
      <c r="A80" s="708"/>
      <c r="B80" s="697" t="s">
        <v>181</v>
      </c>
      <c r="C80" s="740" t="s">
        <v>182</v>
      </c>
      <c r="D80" s="740" t="s">
        <v>139</v>
      </c>
      <c r="E80" s="712" t="s">
        <v>478</v>
      </c>
      <c r="F80" s="714"/>
      <c r="G80" s="711" t="s">
        <v>183</v>
      </c>
      <c r="H80" s="713">
        <v>0</v>
      </c>
      <c r="I80" s="713">
        <v>0</v>
      </c>
      <c r="J80" s="713">
        <v>0</v>
      </c>
      <c r="K80" s="713">
        <v>0</v>
      </c>
      <c r="L80" s="713">
        <v>0</v>
      </c>
      <c r="M80" s="713">
        <v>0</v>
      </c>
      <c r="N80" s="713">
        <v>0</v>
      </c>
      <c r="O80" s="713">
        <v>0</v>
      </c>
      <c r="P80" s="713">
        <v>0</v>
      </c>
      <c r="Q80" s="713">
        <v>0</v>
      </c>
      <c r="R80" s="713">
        <v>0</v>
      </c>
    </row>
    <row r="81" spans="1:18" x14ac:dyDescent="0.2">
      <c r="A81" s="708"/>
      <c r="B81" s="697" t="s">
        <v>184</v>
      </c>
      <c r="C81" s="740" t="s">
        <v>55</v>
      </c>
      <c r="D81" s="740" t="s">
        <v>139</v>
      </c>
      <c r="E81" s="712" t="s">
        <v>478</v>
      </c>
      <c r="F81" s="714"/>
      <c r="G81" s="711" t="s">
        <v>185</v>
      </c>
      <c r="H81" s="713">
        <v>0</v>
      </c>
      <c r="I81" s="713">
        <v>0</v>
      </c>
      <c r="J81" s="713">
        <v>0</v>
      </c>
      <c r="K81" s="713">
        <v>0</v>
      </c>
      <c r="L81" s="713">
        <v>0</v>
      </c>
      <c r="M81" s="713">
        <v>0</v>
      </c>
      <c r="N81" s="713">
        <v>0</v>
      </c>
      <c r="O81" s="713">
        <v>0</v>
      </c>
      <c r="P81" s="713">
        <v>0</v>
      </c>
      <c r="Q81" s="713">
        <v>0</v>
      </c>
      <c r="R81" s="713">
        <v>0</v>
      </c>
    </row>
    <row r="82" spans="1:18" x14ac:dyDescent="0.2">
      <c r="A82" s="708"/>
      <c r="B82" s="697" t="s">
        <v>186</v>
      </c>
      <c r="C82" s="740" t="s">
        <v>187</v>
      </c>
      <c r="D82" s="740" t="s">
        <v>135</v>
      </c>
      <c r="E82" s="712" t="s">
        <v>14</v>
      </c>
      <c r="F82" s="708"/>
      <c r="G82" s="711" t="s">
        <v>188</v>
      </c>
      <c r="H82" s="713">
        <v>0</v>
      </c>
      <c r="I82" s="713">
        <v>0</v>
      </c>
      <c r="J82" s="713">
        <v>0</v>
      </c>
      <c r="K82" s="713">
        <v>0</v>
      </c>
      <c r="L82" s="713">
        <v>0</v>
      </c>
      <c r="M82" s="713">
        <v>0</v>
      </c>
      <c r="N82" s="713">
        <v>0</v>
      </c>
      <c r="O82" s="713">
        <v>0</v>
      </c>
      <c r="P82" s="713">
        <v>0</v>
      </c>
      <c r="Q82" s="713">
        <v>0</v>
      </c>
      <c r="R82" s="713">
        <v>0</v>
      </c>
    </row>
    <row r="83" spans="1:18" x14ac:dyDescent="0.2">
      <c r="A83" s="708"/>
      <c r="B83" s="697" t="s">
        <v>189</v>
      </c>
      <c r="C83" s="740" t="s">
        <v>187</v>
      </c>
      <c r="D83" s="740" t="s">
        <v>139</v>
      </c>
      <c r="E83" s="712" t="s">
        <v>478</v>
      </c>
      <c r="F83" s="714"/>
      <c r="G83" s="711" t="s">
        <v>190</v>
      </c>
      <c r="H83" s="713">
        <v>0</v>
      </c>
      <c r="I83" s="713">
        <v>0</v>
      </c>
      <c r="J83" s="713">
        <v>0</v>
      </c>
      <c r="K83" s="713">
        <v>0</v>
      </c>
      <c r="L83" s="713">
        <v>0</v>
      </c>
      <c r="M83" s="713">
        <v>0</v>
      </c>
      <c r="N83" s="713">
        <v>0</v>
      </c>
      <c r="O83" s="713">
        <v>0</v>
      </c>
      <c r="P83" s="713">
        <v>0</v>
      </c>
      <c r="Q83" s="713">
        <v>0</v>
      </c>
      <c r="R83" s="713">
        <v>0</v>
      </c>
    </row>
    <row r="84" spans="1:18" x14ac:dyDescent="0.2">
      <c r="A84" s="708"/>
      <c r="B84" s="697" t="s">
        <v>191</v>
      </c>
      <c r="C84" s="698">
        <v>68</v>
      </c>
      <c r="D84" s="740" t="s">
        <v>139</v>
      </c>
      <c r="E84" s="712" t="s">
        <v>478</v>
      </c>
      <c r="F84" s="714"/>
      <c r="G84" s="742" t="s">
        <v>114</v>
      </c>
      <c r="H84" s="713">
        <v>0</v>
      </c>
      <c r="I84" s="713">
        <v>0</v>
      </c>
      <c r="J84" s="713">
        <v>0</v>
      </c>
      <c r="K84" s="713">
        <v>0</v>
      </c>
      <c r="L84" s="713">
        <v>0</v>
      </c>
      <c r="M84" s="713">
        <v>0</v>
      </c>
      <c r="N84" s="713">
        <v>0</v>
      </c>
      <c r="O84" s="713">
        <v>0</v>
      </c>
      <c r="P84" s="713">
        <v>0</v>
      </c>
      <c r="Q84" s="713">
        <v>0</v>
      </c>
      <c r="R84" s="713">
        <v>0</v>
      </c>
    </row>
    <row r="85" spans="1:18" x14ac:dyDescent="0.2">
      <c r="A85" s="708"/>
      <c r="B85" s="697" t="s">
        <v>192</v>
      </c>
      <c r="C85" s="698"/>
      <c r="D85" s="698"/>
      <c r="E85" s="696"/>
      <c r="F85" s="708"/>
      <c r="G85" s="742" t="s">
        <v>163</v>
      </c>
      <c r="H85" s="710">
        <f t="shared" ref="H85:R85" si="18">SUM(H74:H84)</f>
        <v>0</v>
      </c>
      <c r="I85" s="710">
        <f t="shared" si="18"/>
        <v>-2.5000000000000001E-2</v>
      </c>
      <c r="J85" s="710">
        <f t="shared" si="18"/>
        <v>0</v>
      </c>
      <c r="K85" s="710">
        <f t="shared" si="18"/>
        <v>-5.0000000000000001E-3</v>
      </c>
      <c r="L85" s="710">
        <f t="shared" si="18"/>
        <v>-3.0000000000000001E-3</v>
      </c>
      <c r="M85" s="710">
        <f t="shared" si="18"/>
        <v>0</v>
      </c>
      <c r="N85" s="710">
        <f t="shared" si="18"/>
        <v>0</v>
      </c>
      <c r="O85" s="710">
        <f t="shared" si="18"/>
        <v>0</v>
      </c>
      <c r="P85" s="710">
        <f t="shared" si="18"/>
        <v>0</v>
      </c>
      <c r="Q85" s="710">
        <f t="shared" si="18"/>
        <v>0</v>
      </c>
      <c r="R85" s="710">
        <f t="shared" si="18"/>
        <v>0</v>
      </c>
    </row>
    <row r="86" spans="1:18" x14ac:dyDescent="0.2">
      <c r="A86" s="708"/>
      <c r="B86" s="697"/>
      <c r="C86" s="698"/>
      <c r="D86" s="698"/>
      <c r="E86" s="696"/>
      <c r="F86" s="708"/>
      <c r="G86" s="734"/>
      <c r="H86" s="699"/>
      <c r="I86" s="699"/>
      <c r="J86" s="699"/>
      <c r="K86" s="699"/>
      <c r="L86" s="699"/>
      <c r="M86" s="699"/>
      <c r="N86" s="699"/>
      <c r="O86" s="699"/>
      <c r="P86" s="699"/>
      <c r="Q86" s="699"/>
      <c r="R86" s="699"/>
    </row>
    <row r="87" spans="1:18" x14ac:dyDescent="0.2">
      <c r="A87" s="708" t="s">
        <v>0</v>
      </c>
      <c r="B87" s="697"/>
      <c r="C87" s="698"/>
      <c r="D87" s="1202" t="s">
        <v>193</v>
      </c>
      <c r="E87" s="1203"/>
      <c r="F87" s="708"/>
      <c r="G87" s="706" t="s">
        <v>194</v>
      </c>
      <c r="H87" s="727">
        <f t="shared" ref="H87:R87" si="19">H32</f>
        <v>2011</v>
      </c>
      <c r="I87" s="727">
        <f t="shared" si="19"/>
        <v>2012</v>
      </c>
      <c r="J87" s="727">
        <f t="shared" si="19"/>
        <v>2013</v>
      </c>
      <c r="K87" s="727">
        <f t="shared" si="19"/>
        <v>2014</v>
      </c>
      <c r="L87" s="727">
        <f t="shared" si="19"/>
        <v>2015</v>
      </c>
      <c r="M87" s="727">
        <f t="shared" si="19"/>
        <v>2016</v>
      </c>
      <c r="N87" s="727">
        <f t="shared" si="19"/>
        <v>2017</v>
      </c>
      <c r="O87" s="727">
        <f t="shared" si="19"/>
        <v>2018</v>
      </c>
      <c r="P87" s="727">
        <f t="shared" si="19"/>
        <v>2019</v>
      </c>
      <c r="Q87" s="727">
        <f t="shared" si="19"/>
        <v>2020</v>
      </c>
      <c r="R87" s="727">
        <f t="shared" si="19"/>
        <v>2021</v>
      </c>
    </row>
    <row r="88" spans="1:18" x14ac:dyDescent="0.2">
      <c r="A88" s="708" t="s">
        <v>195</v>
      </c>
      <c r="B88" s="697" t="s">
        <v>196</v>
      </c>
      <c r="C88" s="708" t="s">
        <v>197</v>
      </c>
      <c r="D88" s="698"/>
      <c r="E88" s="743"/>
      <c r="F88" s="708"/>
      <c r="G88" s="709" t="s">
        <v>198</v>
      </c>
      <c r="H88" s="710">
        <f t="shared" ref="H88:R88" si="20">H46+H71</f>
        <v>-102.8070000000003</v>
      </c>
      <c r="I88" s="710">
        <f t="shared" si="20"/>
        <v>30.573000000000253</v>
      </c>
      <c r="J88" s="710">
        <f t="shared" si="20"/>
        <v>-24.633999999999872</v>
      </c>
      <c r="K88" s="710">
        <f t="shared" si="20"/>
        <v>18.929000000000155</v>
      </c>
      <c r="L88" s="710">
        <f t="shared" si="20"/>
        <v>-7.107999999999592</v>
      </c>
      <c r="M88" s="710">
        <f t="shared" si="20"/>
        <v>-84.399999999999636</v>
      </c>
      <c r="N88" s="710">
        <f t="shared" si="20"/>
        <v>0</v>
      </c>
      <c r="O88" s="710">
        <f t="shared" si="20"/>
        <v>0</v>
      </c>
      <c r="P88" s="710">
        <f t="shared" si="20"/>
        <v>0</v>
      </c>
      <c r="Q88" s="710">
        <f t="shared" si="20"/>
        <v>0</v>
      </c>
      <c r="R88" s="710">
        <f t="shared" si="20"/>
        <v>0</v>
      </c>
    </row>
    <row r="89" spans="1:18" x14ac:dyDescent="0.2">
      <c r="A89" s="708" t="s">
        <v>199</v>
      </c>
      <c r="B89" s="697" t="s">
        <v>200</v>
      </c>
      <c r="C89" s="740" t="s">
        <v>201</v>
      </c>
      <c r="D89" s="698"/>
      <c r="E89" s="743"/>
      <c r="F89" s="708"/>
      <c r="G89" s="709" t="s">
        <v>202</v>
      </c>
      <c r="H89" s="744">
        <f t="shared" ref="H89:R89" si="21">H33+H38+H41-H45</f>
        <v>-49.946000000000303</v>
      </c>
      <c r="I89" s="710">
        <f t="shared" si="21"/>
        <v>91.457000000000249</v>
      </c>
      <c r="J89" s="710">
        <f t="shared" si="21"/>
        <v>141.27100000000013</v>
      </c>
      <c r="K89" s="710">
        <f t="shared" si="21"/>
        <v>76.659000000000162</v>
      </c>
      <c r="L89" s="710">
        <f t="shared" si="21"/>
        <v>45.471000000000409</v>
      </c>
      <c r="M89" s="710">
        <f t="shared" si="21"/>
        <v>-27.399999999999636</v>
      </c>
      <c r="N89" s="710">
        <f t="shared" si="21"/>
        <v>46</v>
      </c>
      <c r="O89" s="710">
        <f t="shared" si="21"/>
        <v>40</v>
      </c>
      <c r="P89" s="710">
        <f t="shared" si="21"/>
        <v>40</v>
      </c>
      <c r="Q89" s="710">
        <f t="shared" si="21"/>
        <v>40</v>
      </c>
      <c r="R89" s="710">
        <f t="shared" si="21"/>
        <v>40</v>
      </c>
    </row>
    <row r="90" spans="1:18" x14ac:dyDescent="0.2">
      <c r="A90" s="708" t="s">
        <v>203</v>
      </c>
      <c r="B90" s="697" t="s">
        <v>204</v>
      </c>
      <c r="C90" s="708" t="s">
        <v>205</v>
      </c>
      <c r="D90" s="698"/>
      <c r="E90" s="745">
        <v>0</v>
      </c>
      <c r="F90" s="708"/>
      <c r="G90" s="742" t="s">
        <v>206</v>
      </c>
      <c r="H90" s="746">
        <f t="shared" ref="H90:R90" si="22">H89/H33</f>
        <v>-1.1132302690042803E-2</v>
      </c>
      <c r="I90" s="743">
        <f t="shared" si="22"/>
        <v>1.9039710110592627E-2</v>
      </c>
      <c r="J90" s="743">
        <f t="shared" si="22"/>
        <v>2.9711376640507742E-2</v>
      </c>
      <c r="K90" s="743">
        <f t="shared" si="22"/>
        <v>1.3007087478979463E-2</v>
      </c>
      <c r="L90" s="743">
        <f t="shared" si="22"/>
        <v>8.5228742391061443E-3</v>
      </c>
      <c r="M90" s="743">
        <f t="shared" si="22"/>
        <v>-2.9334304006166235E-3</v>
      </c>
      <c r="N90" s="743">
        <f t="shared" si="22"/>
        <v>4.4444444444444444E-3</v>
      </c>
      <c r="O90" s="743">
        <f t="shared" si="22"/>
        <v>5.4274084124830389E-3</v>
      </c>
      <c r="P90" s="743">
        <f t="shared" si="22"/>
        <v>5.5788005578800556E-3</v>
      </c>
      <c r="Q90" s="743">
        <f t="shared" si="22"/>
        <v>5.5788005578800556E-3</v>
      </c>
      <c r="R90" s="743">
        <f t="shared" si="22"/>
        <v>5.5788005578800556E-3</v>
      </c>
    </row>
    <row r="91" spans="1:18" x14ac:dyDescent="0.2">
      <c r="A91" s="708" t="s">
        <v>207</v>
      </c>
      <c r="B91" s="697" t="s">
        <v>208</v>
      </c>
      <c r="C91" s="740" t="s">
        <v>209</v>
      </c>
      <c r="D91" s="698"/>
      <c r="E91" s="743"/>
      <c r="F91" s="708"/>
      <c r="G91" s="711" t="s">
        <v>210</v>
      </c>
      <c r="H91" s="747">
        <f t="shared" ref="H91:R91" si="23">-H33/(H38+H41)</f>
        <v>0.97626797706612356</v>
      </c>
      <c r="I91" s="747">
        <f t="shared" si="23"/>
        <v>1.0072177670046436</v>
      </c>
      <c r="J91" s="747">
        <f t="shared" si="23"/>
        <v>1.0202429514657103</v>
      </c>
      <c r="K91" s="747">
        <f t="shared" si="23"/>
        <v>1.003213410601804</v>
      </c>
      <c r="L91" s="747">
        <f t="shared" si="23"/>
        <v>0.99911084810259332</v>
      </c>
      <c r="M91" s="747">
        <f t="shared" si="23"/>
        <v>0.99104509283819631</v>
      </c>
      <c r="N91" s="747">
        <f t="shared" si="23"/>
        <v>1</v>
      </c>
      <c r="O91" s="747">
        <f t="shared" si="23"/>
        <v>1</v>
      </c>
      <c r="P91" s="747">
        <f t="shared" si="23"/>
        <v>1</v>
      </c>
      <c r="Q91" s="747">
        <f t="shared" si="23"/>
        <v>1</v>
      </c>
      <c r="R91" s="747">
        <f t="shared" si="23"/>
        <v>1</v>
      </c>
    </row>
    <row r="92" spans="1:18" x14ac:dyDescent="0.2">
      <c r="A92" s="708" t="s">
        <v>211</v>
      </c>
      <c r="B92" s="697" t="s">
        <v>212</v>
      </c>
      <c r="C92" s="708" t="s">
        <v>213</v>
      </c>
      <c r="D92" s="698"/>
      <c r="E92" s="743"/>
      <c r="F92" s="708"/>
      <c r="G92" s="709" t="s">
        <v>214</v>
      </c>
      <c r="H92" s="744">
        <f t="shared" ref="H92:R92" si="24">H46</f>
        <v>-109.06400000000031</v>
      </c>
      <c r="I92" s="744">
        <f t="shared" si="24"/>
        <v>34.422000000000253</v>
      </c>
      <c r="J92" s="744">
        <f t="shared" si="24"/>
        <v>94.341000000000122</v>
      </c>
      <c r="K92" s="744">
        <f t="shared" si="24"/>
        <v>18.878000000000156</v>
      </c>
      <c r="L92" s="744">
        <f t="shared" si="24"/>
        <v>-4.7479999999995925</v>
      </c>
      <c r="M92" s="744">
        <f t="shared" si="24"/>
        <v>-84.399999999999636</v>
      </c>
      <c r="N92" s="744">
        <f t="shared" si="24"/>
        <v>0</v>
      </c>
      <c r="O92" s="744">
        <f t="shared" si="24"/>
        <v>0</v>
      </c>
      <c r="P92" s="744">
        <f t="shared" si="24"/>
        <v>0</v>
      </c>
      <c r="Q92" s="744">
        <f t="shared" si="24"/>
        <v>0</v>
      </c>
      <c r="R92" s="744">
        <f t="shared" si="24"/>
        <v>0</v>
      </c>
    </row>
    <row r="93" spans="1:18" x14ac:dyDescent="0.2">
      <c r="A93" s="708" t="s">
        <v>215</v>
      </c>
      <c r="B93" s="697" t="s">
        <v>216</v>
      </c>
      <c r="C93" s="708" t="s">
        <v>217</v>
      </c>
      <c r="D93" s="745">
        <v>-0.3</v>
      </c>
      <c r="E93" s="745">
        <v>0</v>
      </c>
      <c r="F93" s="708"/>
      <c r="G93" s="711" t="s">
        <v>218</v>
      </c>
      <c r="H93" s="748">
        <f t="shared" ref="H93:R93" si="25">H46/H33</f>
        <v>-2.4308922848412771E-2</v>
      </c>
      <c r="I93" s="749">
        <f t="shared" si="25"/>
        <v>7.1660441674975392E-3</v>
      </c>
      <c r="J93" s="749">
        <f t="shared" si="25"/>
        <v>1.984130489373008E-2</v>
      </c>
      <c r="K93" s="749">
        <f t="shared" si="25"/>
        <v>3.2031176695257674E-3</v>
      </c>
      <c r="L93" s="749">
        <f t="shared" si="25"/>
        <v>-8.8994319208445243E-4</v>
      </c>
      <c r="M93" s="749">
        <f t="shared" si="25"/>
        <v>-9.0358221099286588E-3</v>
      </c>
      <c r="N93" s="749">
        <f t="shared" si="25"/>
        <v>0</v>
      </c>
      <c r="O93" s="749">
        <f t="shared" si="25"/>
        <v>0</v>
      </c>
      <c r="P93" s="749">
        <f t="shared" si="25"/>
        <v>0</v>
      </c>
      <c r="Q93" s="749">
        <f t="shared" si="25"/>
        <v>0</v>
      </c>
      <c r="R93" s="749">
        <f t="shared" si="25"/>
        <v>0</v>
      </c>
    </row>
    <row r="94" spans="1:18" x14ac:dyDescent="0.2">
      <c r="A94" s="708" t="s">
        <v>219</v>
      </c>
      <c r="B94" s="697" t="s">
        <v>220</v>
      </c>
      <c r="C94" s="708" t="s">
        <v>221</v>
      </c>
      <c r="D94" s="698"/>
      <c r="E94" s="743"/>
      <c r="F94" s="708"/>
      <c r="G94" s="742" t="s">
        <v>222</v>
      </c>
      <c r="H94" s="744">
        <f t="shared" ref="H94:R94" si="26">H29+H30</f>
        <v>1.730000000000004</v>
      </c>
      <c r="I94" s="744">
        <f t="shared" si="26"/>
        <v>107.369</v>
      </c>
      <c r="J94" s="744">
        <f t="shared" si="26"/>
        <v>201.72499999999999</v>
      </c>
      <c r="K94" s="744">
        <f t="shared" si="26"/>
        <v>220.65299999999999</v>
      </c>
      <c r="L94" s="744">
        <f t="shared" si="26"/>
        <v>218.22199999999998</v>
      </c>
      <c r="M94" s="744">
        <f t="shared" si="26"/>
        <v>137</v>
      </c>
      <c r="N94" s="744">
        <f t="shared" si="26"/>
        <v>138</v>
      </c>
      <c r="O94" s="744">
        <f t="shared" si="26"/>
        <v>138</v>
      </c>
      <c r="P94" s="744">
        <f t="shared" si="26"/>
        <v>138</v>
      </c>
      <c r="Q94" s="744">
        <f t="shared" si="26"/>
        <v>138</v>
      </c>
      <c r="R94" s="744">
        <f t="shared" si="26"/>
        <v>138</v>
      </c>
    </row>
    <row r="95" spans="1:18" x14ac:dyDescent="0.2">
      <c r="A95" s="708"/>
      <c r="B95" s="697"/>
      <c r="C95" s="698"/>
      <c r="D95" s="698"/>
      <c r="E95" s="696"/>
      <c r="F95" s="708"/>
      <c r="G95" s="750" t="s">
        <v>223</v>
      </c>
      <c r="H95" s="727">
        <f t="shared" ref="H95:R95" si="27">H87</f>
        <v>2011</v>
      </c>
      <c r="I95" s="727">
        <f t="shared" si="27"/>
        <v>2012</v>
      </c>
      <c r="J95" s="727">
        <f t="shared" si="27"/>
        <v>2013</v>
      </c>
      <c r="K95" s="727">
        <f t="shared" si="27"/>
        <v>2014</v>
      </c>
      <c r="L95" s="727">
        <f t="shared" si="27"/>
        <v>2015</v>
      </c>
      <c r="M95" s="727">
        <f t="shared" si="27"/>
        <v>2016</v>
      </c>
      <c r="N95" s="727">
        <f t="shared" si="27"/>
        <v>2017</v>
      </c>
      <c r="O95" s="727">
        <f t="shared" si="27"/>
        <v>2018</v>
      </c>
      <c r="P95" s="727">
        <f t="shared" si="27"/>
        <v>2019</v>
      </c>
      <c r="Q95" s="727">
        <f t="shared" si="27"/>
        <v>2020</v>
      </c>
      <c r="R95" s="727">
        <f t="shared" si="27"/>
        <v>2021</v>
      </c>
    </row>
    <row r="96" spans="1:18" x14ac:dyDescent="0.2">
      <c r="A96" s="740" t="s">
        <v>224</v>
      </c>
      <c r="B96" s="697" t="s">
        <v>225</v>
      </c>
      <c r="C96" s="698" t="s">
        <v>226</v>
      </c>
      <c r="D96" s="698"/>
      <c r="E96" s="743"/>
      <c r="F96" s="751"/>
      <c r="G96" s="709" t="s">
        <v>227</v>
      </c>
      <c r="H96" s="744">
        <f t="shared" ref="H96:R96" si="28">H6+H12</f>
        <v>372.50599999999997</v>
      </c>
      <c r="I96" s="710">
        <f t="shared" si="28"/>
        <v>346.21699999999998</v>
      </c>
      <c r="J96" s="710">
        <f t="shared" si="28"/>
        <v>600.69799999999998</v>
      </c>
      <c r="K96" s="710">
        <f t="shared" si="28"/>
        <v>854.04100000000005</v>
      </c>
      <c r="L96" s="710">
        <f t="shared" si="28"/>
        <v>809.52300000000002</v>
      </c>
      <c r="M96" s="710">
        <f t="shared" si="28"/>
        <v>1063</v>
      </c>
      <c r="N96" s="710">
        <f t="shared" si="28"/>
        <v>950</v>
      </c>
      <c r="O96" s="710">
        <f t="shared" si="28"/>
        <v>700</v>
      </c>
      <c r="P96" s="710">
        <f t="shared" si="28"/>
        <v>700</v>
      </c>
      <c r="Q96" s="710">
        <f t="shared" si="28"/>
        <v>700</v>
      </c>
      <c r="R96" s="710">
        <f t="shared" si="28"/>
        <v>700</v>
      </c>
    </row>
    <row r="97" spans="1:18" x14ac:dyDescent="0.2">
      <c r="A97" s="708" t="s">
        <v>228</v>
      </c>
      <c r="B97" s="697" t="s">
        <v>229</v>
      </c>
      <c r="C97" s="708" t="s">
        <v>45</v>
      </c>
      <c r="D97" s="698"/>
      <c r="E97" s="743"/>
      <c r="F97" s="751"/>
      <c r="G97" s="711" t="s">
        <v>230</v>
      </c>
      <c r="H97" s="744">
        <f t="shared" ref="H97:R97" si="29">H19</f>
        <v>632.86800000000005</v>
      </c>
      <c r="I97" s="744">
        <f t="shared" si="29"/>
        <v>398.495</v>
      </c>
      <c r="J97" s="744">
        <f t="shared" si="29"/>
        <v>899.13599999999997</v>
      </c>
      <c r="K97" s="744">
        <f t="shared" si="29"/>
        <v>719.26700000000005</v>
      </c>
      <c r="L97" s="744">
        <f t="shared" si="29"/>
        <v>1137.8969999999999</v>
      </c>
      <c r="M97" s="744">
        <f t="shared" si="29"/>
        <v>998</v>
      </c>
      <c r="N97" s="744">
        <f t="shared" si="29"/>
        <v>800</v>
      </c>
      <c r="O97" s="744">
        <f t="shared" si="29"/>
        <v>500</v>
      </c>
      <c r="P97" s="744">
        <f t="shared" si="29"/>
        <v>500</v>
      </c>
      <c r="Q97" s="744">
        <f t="shared" si="29"/>
        <v>500</v>
      </c>
      <c r="R97" s="744">
        <f t="shared" si="29"/>
        <v>500</v>
      </c>
    </row>
    <row r="98" spans="1:18" x14ac:dyDescent="0.2">
      <c r="A98" s="708" t="s">
        <v>231</v>
      </c>
      <c r="B98" s="697" t="s">
        <v>232</v>
      </c>
      <c r="C98" s="708" t="s">
        <v>233</v>
      </c>
      <c r="D98" s="698"/>
      <c r="E98" s="743"/>
      <c r="F98" s="751"/>
      <c r="G98" s="711" t="s">
        <v>234</v>
      </c>
      <c r="H98" s="744">
        <f t="shared" ref="H98:R98" si="30">H97-H96</f>
        <v>260.36200000000008</v>
      </c>
      <c r="I98" s="710">
        <f t="shared" si="30"/>
        <v>52.27800000000002</v>
      </c>
      <c r="J98" s="710">
        <f t="shared" si="30"/>
        <v>298.43799999999999</v>
      </c>
      <c r="K98" s="710">
        <f t="shared" si="30"/>
        <v>-134.774</v>
      </c>
      <c r="L98" s="710">
        <f t="shared" si="30"/>
        <v>328.37399999999991</v>
      </c>
      <c r="M98" s="710">
        <f t="shared" si="30"/>
        <v>-65</v>
      </c>
      <c r="N98" s="710">
        <f t="shared" si="30"/>
        <v>-150</v>
      </c>
      <c r="O98" s="710">
        <f t="shared" si="30"/>
        <v>-200</v>
      </c>
      <c r="P98" s="710">
        <f t="shared" si="30"/>
        <v>-200</v>
      </c>
      <c r="Q98" s="710">
        <f t="shared" si="30"/>
        <v>-200</v>
      </c>
      <c r="R98" s="710">
        <f t="shared" si="30"/>
        <v>-200</v>
      </c>
    </row>
    <row r="99" spans="1:18" x14ac:dyDescent="0.2">
      <c r="A99" s="740" t="s">
        <v>235</v>
      </c>
      <c r="B99" s="697" t="s">
        <v>236</v>
      </c>
      <c r="C99" s="708" t="s">
        <v>237</v>
      </c>
      <c r="D99" s="698"/>
      <c r="E99" s="745">
        <v>0.4</v>
      </c>
      <c r="F99" s="751"/>
      <c r="G99" s="711" t="s">
        <v>238</v>
      </c>
      <c r="H99" s="746">
        <f t="shared" ref="H99:R99" si="31">H98/H33</f>
        <v>5.8031245604951494E-2</v>
      </c>
      <c r="I99" s="743">
        <f t="shared" si="31"/>
        <v>1.0883343704271506E-2</v>
      </c>
      <c r="J99" s="743">
        <f t="shared" si="31"/>
        <v>6.2765916726290893E-2</v>
      </c>
      <c r="K99" s="743">
        <f t="shared" si="31"/>
        <v>-2.2867728614930725E-2</v>
      </c>
      <c r="L99" s="743">
        <f t="shared" si="31"/>
        <v>6.1548906014651426E-2</v>
      </c>
      <c r="M99" s="743">
        <f t="shared" si="31"/>
        <v>-6.9588677386891633E-3</v>
      </c>
      <c r="N99" s="743">
        <f t="shared" si="31"/>
        <v>-1.4492753623188406E-2</v>
      </c>
      <c r="O99" s="743">
        <f t="shared" si="31"/>
        <v>-2.7137042062415198E-2</v>
      </c>
      <c r="P99" s="743">
        <f t="shared" si="31"/>
        <v>-2.7894002789400279E-2</v>
      </c>
      <c r="Q99" s="743">
        <f t="shared" si="31"/>
        <v>-2.7894002789400279E-2</v>
      </c>
      <c r="R99" s="743">
        <f t="shared" si="31"/>
        <v>-2.7894002789400279E-2</v>
      </c>
    </row>
    <row r="100" spans="1:18" x14ac:dyDescent="0.2">
      <c r="A100" s="708" t="s">
        <v>239</v>
      </c>
      <c r="B100" s="697" t="s">
        <v>240</v>
      </c>
      <c r="C100" s="708" t="s">
        <v>241</v>
      </c>
      <c r="D100" s="752">
        <v>0</v>
      </c>
      <c r="E100" s="752">
        <v>5</v>
      </c>
      <c r="F100" s="751"/>
      <c r="G100" s="711" t="s">
        <v>242</v>
      </c>
      <c r="H100" s="747">
        <f t="shared" ref="H100:R100" si="32">H98/H89</f>
        <v>-5.2128698994914204</v>
      </c>
      <c r="I100" s="747">
        <f t="shared" si="32"/>
        <v>0.5716128891172888</v>
      </c>
      <c r="J100" s="747">
        <f t="shared" si="32"/>
        <v>2.1125213242632932</v>
      </c>
      <c r="K100" s="747">
        <f t="shared" si="32"/>
        <v>-1.7580975488853197</v>
      </c>
      <c r="L100" s="747">
        <f t="shared" si="32"/>
        <v>7.2216137758130889</v>
      </c>
      <c r="M100" s="747">
        <f t="shared" si="32"/>
        <v>2.3722627737226594</v>
      </c>
      <c r="N100" s="747">
        <f t="shared" si="32"/>
        <v>-3.2608695652173911</v>
      </c>
      <c r="O100" s="747">
        <f t="shared" si="32"/>
        <v>-5</v>
      </c>
      <c r="P100" s="747">
        <f t="shared" si="32"/>
        <v>-5</v>
      </c>
      <c r="Q100" s="747">
        <f t="shared" si="32"/>
        <v>-5</v>
      </c>
      <c r="R100" s="747">
        <f t="shared" si="32"/>
        <v>-5</v>
      </c>
    </row>
    <row r="101" spans="1:18" x14ac:dyDescent="0.2">
      <c r="A101" s="708" t="s">
        <v>243</v>
      </c>
      <c r="B101" s="697" t="s">
        <v>244</v>
      </c>
      <c r="C101" s="708" t="s">
        <v>245</v>
      </c>
      <c r="D101" s="698"/>
      <c r="E101" s="743"/>
      <c r="F101" s="751"/>
      <c r="G101" s="711" t="s">
        <v>246</v>
      </c>
      <c r="H101" s="744">
        <f t="shared" ref="H101:R101" si="33">-(H75+H77+H78+H79+H80+H81)</f>
        <v>0</v>
      </c>
      <c r="I101" s="744">
        <f t="shared" si="33"/>
        <v>2.5000000000000001E-2</v>
      </c>
      <c r="J101" s="744">
        <f t="shared" si="33"/>
        <v>0</v>
      </c>
      <c r="K101" s="744">
        <f t="shared" si="33"/>
        <v>5.0000000000000001E-3</v>
      </c>
      <c r="L101" s="744">
        <f t="shared" si="33"/>
        <v>3.0000000000000001E-3</v>
      </c>
      <c r="M101" s="744">
        <f t="shared" si="33"/>
        <v>0</v>
      </c>
      <c r="N101" s="744">
        <f t="shared" si="33"/>
        <v>0</v>
      </c>
      <c r="O101" s="744">
        <f t="shared" si="33"/>
        <v>0</v>
      </c>
      <c r="P101" s="744">
        <f t="shared" si="33"/>
        <v>0</v>
      </c>
      <c r="Q101" s="744">
        <f t="shared" si="33"/>
        <v>0</v>
      </c>
      <c r="R101" s="744">
        <f t="shared" si="33"/>
        <v>0</v>
      </c>
    </row>
    <row r="102" spans="1:18" x14ac:dyDescent="0.2">
      <c r="A102" s="708" t="s">
        <v>247</v>
      </c>
      <c r="B102" s="697" t="s">
        <v>248</v>
      </c>
      <c r="C102" s="708" t="s">
        <v>249</v>
      </c>
      <c r="D102" s="698"/>
      <c r="E102" s="752">
        <v>1.2</v>
      </c>
      <c r="F102" s="751"/>
      <c r="G102" s="711" t="s">
        <v>250</v>
      </c>
      <c r="H102" s="753" t="e">
        <f t="shared" ref="H102:R102" si="34">H89/H101</f>
        <v>#DIV/0!</v>
      </c>
      <c r="I102" s="747">
        <f t="shared" si="34"/>
        <v>3658.2800000000097</v>
      </c>
      <c r="J102" s="747" t="e">
        <f t="shared" si="34"/>
        <v>#DIV/0!</v>
      </c>
      <c r="K102" s="747">
        <f t="shared" si="34"/>
        <v>15331.800000000032</v>
      </c>
      <c r="L102" s="747">
        <f t="shared" si="34"/>
        <v>15157.000000000136</v>
      </c>
      <c r="M102" s="747" t="e">
        <f t="shared" si="34"/>
        <v>#DIV/0!</v>
      </c>
      <c r="N102" s="747" t="e">
        <f t="shared" si="34"/>
        <v>#DIV/0!</v>
      </c>
      <c r="O102" s="747" t="e">
        <f t="shared" si="34"/>
        <v>#DIV/0!</v>
      </c>
      <c r="P102" s="747" t="e">
        <f t="shared" si="34"/>
        <v>#DIV/0!</v>
      </c>
      <c r="Q102" s="747" t="e">
        <f t="shared" si="34"/>
        <v>#DIV/0!</v>
      </c>
      <c r="R102" s="747" t="e">
        <f t="shared" si="34"/>
        <v>#DIV/0!</v>
      </c>
    </row>
    <row r="103" spans="1:18" x14ac:dyDescent="0.2">
      <c r="A103" s="754" t="s">
        <v>251</v>
      </c>
      <c r="B103" s="697" t="s">
        <v>252</v>
      </c>
      <c r="C103" s="708" t="s">
        <v>253</v>
      </c>
      <c r="D103" s="698"/>
      <c r="E103" s="752">
        <v>0</v>
      </c>
      <c r="F103" s="751"/>
      <c r="G103" s="709" t="s">
        <v>254</v>
      </c>
      <c r="H103" s="744">
        <f t="shared" ref="H103:R103" si="35">H5-H20</f>
        <v>13.80399999999986</v>
      </c>
      <c r="I103" s="744">
        <f t="shared" si="35"/>
        <v>101.41200000000003</v>
      </c>
      <c r="J103" s="744">
        <f t="shared" si="35"/>
        <v>123.70700000000011</v>
      </c>
      <c r="K103" s="744">
        <f t="shared" si="35"/>
        <v>200.41699999999992</v>
      </c>
      <c r="L103" s="744">
        <f t="shared" si="35"/>
        <v>243.52800000000002</v>
      </c>
      <c r="M103" s="744">
        <f t="shared" si="35"/>
        <v>214</v>
      </c>
      <c r="N103" s="744">
        <f t="shared" si="35"/>
        <v>259</v>
      </c>
      <c r="O103" s="744">
        <f t="shared" si="35"/>
        <v>287</v>
      </c>
      <c r="P103" s="744">
        <f t="shared" si="35"/>
        <v>287</v>
      </c>
      <c r="Q103" s="744">
        <f t="shared" si="35"/>
        <v>287</v>
      </c>
      <c r="R103" s="744">
        <f t="shared" si="35"/>
        <v>287</v>
      </c>
    </row>
    <row r="104" spans="1:18" x14ac:dyDescent="0.2">
      <c r="A104" s="740" t="s">
        <v>255</v>
      </c>
      <c r="B104" s="697" t="s">
        <v>256</v>
      </c>
      <c r="C104" s="708" t="s">
        <v>257</v>
      </c>
      <c r="D104" s="698"/>
      <c r="E104" s="752">
        <v>1</v>
      </c>
      <c r="F104" s="751"/>
      <c r="G104" s="711" t="s">
        <v>258</v>
      </c>
      <c r="H104" s="753">
        <f t="shared" ref="H104:R104" si="36">H5/H20</f>
        <v>1.0245755273750792</v>
      </c>
      <c r="I104" s="753">
        <f t="shared" si="36"/>
        <v>1.2544875092535666</v>
      </c>
      <c r="J104" s="753">
        <f t="shared" si="36"/>
        <v>1.1375843031532495</v>
      </c>
      <c r="K104" s="753">
        <f t="shared" si="36"/>
        <v>1.2786406160716395</v>
      </c>
      <c r="L104" s="753">
        <f t="shared" si="36"/>
        <v>1.2140158555651346</v>
      </c>
      <c r="M104" s="753">
        <f t="shared" si="36"/>
        <v>1.214428857715431</v>
      </c>
      <c r="N104" s="753">
        <f t="shared" si="36"/>
        <v>1.32375</v>
      </c>
      <c r="O104" s="753">
        <f t="shared" si="36"/>
        <v>1.5740000000000001</v>
      </c>
      <c r="P104" s="753">
        <f t="shared" si="36"/>
        <v>1.5740000000000001</v>
      </c>
      <c r="Q104" s="753">
        <f t="shared" si="36"/>
        <v>1.5740000000000001</v>
      </c>
      <c r="R104" s="753">
        <f t="shared" si="36"/>
        <v>1.5740000000000001</v>
      </c>
    </row>
    <row r="105" spans="1:18" x14ac:dyDescent="0.2">
      <c r="A105" s="740" t="s">
        <v>259</v>
      </c>
      <c r="B105" s="697" t="s">
        <v>260</v>
      </c>
      <c r="C105" s="740" t="s">
        <v>261</v>
      </c>
      <c r="D105" s="698"/>
      <c r="E105" s="752">
        <v>1</v>
      </c>
      <c r="F105" s="751"/>
      <c r="G105" s="742" t="s">
        <v>262</v>
      </c>
      <c r="H105" s="753">
        <f t="shared" ref="H105:R105" si="37">-H6/((H38+H41-H45+H47)/12)</f>
        <v>0.98556207882782176</v>
      </c>
      <c r="I105" s="753">
        <f t="shared" si="37"/>
        <v>0.88171012465237575</v>
      </c>
      <c r="J105" s="753">
        <f t="shared" si="37"/>
        <v>1.5624555109231792</v>
      </c>
      <c r="K105" s="753">
        <f t="shared" si="37"/>
        <v>1.7618407532642264</v>
      </c>
      <c r="L105" s="753">
        <f t="shared" si="37"/>
        <v>1.837255625844463</v>
      </c>
      <c r="M105" s="753">
        <f t="shared" si="37"/>
        <v>1.3621365340053604</v>
      </c>
      <c r="N105" s="753">
        <f t="shared" si="37"/>
        <v>1.1063664596273293</v>
      </c>
      <c r="O105" s="753">
        <f t="shared" si="37"/>
        <v>1.145975443383356</v>
      </c>
      <c r="P105" s="753">
        <f t="shared" si="37"/>
        <v>1.1781206171107994</v>
      </c>
      <c r="Q105" s="753">
        <f t="shared" si="37"/>
        <v>1.1781206171107994</v>
      </c>
      <c r="R105" s="753">
        <f t="shared" si="37"/>
        <v>1.1781206171107994</v>
      </c>
    </row>
    <row r="106" spans="1:18" x14ac:dyDescent="0.2">
      <c r="A106" s="708"/>
      <c r="B106" s="697"/>
      <c r="C106" s="708"/>
      <c r="D106" s="698"/>
      <c r="E106" s="696"/>
      <c r="F106" s="751"/>
      <c r="G106" s="750" t="s">
        <v>263</v>
      </c>
      <c r="H106" s="727">
        <f t="shared" ref="H106:R106" si="38">H95</f>
        <v>2011</v>
      </c>
      <c r="I106" s="727">
        <f t="shared" si="38"/>
        <v>2012</v>
      </c>
      <c r="J106" s="727">
        <f t="shared" si="38"/>
        <v>2013</v>
      </c>
      <c r="K106" s="727">
        <f t="shared" si="38"/>
        <v>2014</v>
      </c>
      <c r="L106" s="727">
        <f t="shared" si="38"/>
        <v>2015</v>
      </c>
      <c r="M106" s="727">
        <f t="shared" si="38"/>
        <v>2016</v>
      </c>
      <c r="N106" s="727">
        <f t="shared" si="38"/>
        <v>2017</v>
      </c>
      <c r="O106" s="727">
        <f t="shared" si="38"/>
        <v>2018</v>
      </c>
      <c r="P106" s="727">
        <f t="shared" si="38"/>
        <v>2019</v>
      </c>
      <c r="Q106" s="727">
        <f t="shared" si="38"/>
        <v>2020</v>
      </c>
      <c r="R106" s="727">
        <f t="shared" si="38"/>
        <v>2021</v>
      </c>
    </row>
    <row r="107" spans="1:18" x14ac:dyDescent="0.2">
      <c r="A107" s="740" t="s">
        <v>264</v>
      </c>
      <c r="B107" s="697" t="s">
        <v>265</v>
      </c>
      <c r="C107" s="740" t="s">
        <v>266</v>
      </c>
      <c r="D107" s="698"/>
      <c r="E107" s="745">
        <v>0.6</v>
      </c>
      <c r="F107" s="751"/>
      <c r="G107" s="709" t="s">
        <v>267</v>
      </c>
      <c r="H107" s="746">
        <f t="shared" ref="H107:R107" si="39">H17/H4</f>
        <v>0</v>
      </c>
      <c r="I107" s="746">
        <f t="shared" si="39"/>
        <v>0</v>
      </c>
      <c r="J107" s="746">
        <f t="shared" si="39"/>
        <v>0</v>
      </c>
      <c r="K107" s="746">
        <f t="shared" si="39"/>
        <v>0</v>
      </c>
      <c r="L107" s="746">
        <f t="shared" si="39"/>
        <v>0</v>
      </c>
      <c r="M107" s="746">
        <f t="shared" si="39"/>
        <v>0</v>
      </c>
      <c r="N107" s="746">
        <f t="shared" si="39"/>
        <v>0</v>
      </c>
      <c r="O107" s="746">
        <f t="shared" si="39"/>
        <v>0</v>
      </c>
      <c r="P107" s="746">
        <f t="shared" si="39"/>
        <v>0</v>
      </c>
      <c r="Q107" s="746">
        <f t="shared" si="39"/>
        <v>0</v>
      </c>
      <c r="R107" s="746">
        <f t="shared" si="39"/>
        <v>0</v>
      </c>
    </row>
    <row r="108" spans="1:18" x14ac:dyDescent="0.2">
      <c r="A108" s="740" t="s">
        <v>268</v>
      </c>
      <c r="B108" s="697" t="s">
        <v>269</v>
      </c>
      <c r="C108" s="740" t="s">
        <v>270</v>
      </c>
      <c r="D108" s="698"/>
      <c r="E108" s="745">
        <v>0.4</v>
      </c>
      <c r="F108" s="751"/>
      <c r="G108" s="742" t="s">
        <v>271</v>
      </c>
      <c r="H108" s="746" t="e">
        <f t="shared" ref="H108:R108" si="40">H27/H17</f>
        <v>#DIV/0!</v>
      </c>
      <c r="I108" s="746" t="e">
        <f t="shared" si="40"/>
        <v>#DIV/0!</v>
      </c>
      <c r="J108" s="746" t="e">
        <f t="shared" si="40"/>
        <v>#DIV/0!</v>
      </c>
      <c r="K108" s="746" t="e">
        <f t="shared" si="40"/>
        <v>#DIV/0!</v>
      </c>
      <c r="L108" s="746" t="e">
        <f t="shared" si="40"/>
        <v>#DIV/0!</v>
      </c>
      <c r="M108" s="746" t="e">
        <f t="shared" si="40"/>
        <v>#DIV/0!</v>
      </c>
      <c r="N108" s="746" t="e">
        <f t="shared" si="40"/>
        <v>#DIV/0!</v>
      </c>
      <c r="O108" s="746" t="e">
        <f t="shared" si="40"/>
        <v>#DIV/0!</v>
      </c>
      <c r="P108" s="746" t="e">
        <f t="shared" si="40"/>
        <v>#DIV/0!</v>
      </c>
      <c r="Q108" s="746" t="e">
        <f t="shared" si="40"/>
        <v>#DIV/0!</v>
      </c>
      <c r="R108" s="746" t="e">
        <f t="shared" si="40"/>
        <v>#DIV/0!</v>
      </c>
    </row>
    <row r="109" spans="1:18" x14ac:dyDescent="0.2">
      <c r="A109" s="708"/>
      <c r="B109" s="697"/>
      <c r="C109" s="708"/>
      <c r="D109" s="698"/>
      <c r="E109" s="696"/>
      <c r="F109" s="751"/>
      <c r="G109" s="755" t="s">
        <v>272</v>
      </c>
      <c r="H109" s="727">
        <f t="shared" ref="H109:R109" si="41">H95</f>
        <v>2011</v>
      </c>
      <c r="I109" s="727">
        <f t="shared" si="41"/>
        <v>2012</v>
      </c>
      <c r="J109" s="727">
        <f t="shared" si="41"/>
        <v>2013</v>
      </c>
      <c r="K109" s="727">
        <f t="shared" si="41"/>
        <v>2014</v>
      </c>
      <c r="L109" s="727">
        <f t="shared" si="41"/>
        <v>2015</v>
      </c>
      <c r="M109" s="727">
        <f t="shared" si="41"/>
        <v>2016</v>
      </c>
      <c r="N109" s="727">
        <f t="shared" si="41"/>
        <v>2017</v>
      </c>
      <c r="O109" s="727">
        <f t="shared" si="41"/>
        <v>2018</v>
      </c>
      <c r="P109" s="727">
        <f t="shared" si="41"/>
        <v>2019</v>
      </c>
      <c r="Q109" s="727">
        <f t="shared" si="41"/>
        <v>2020</v>
      </c>
      <c r="R109" s="727">
        <f t="shared" si="41"/>
        <v>2021</v>
      </c>
    </row>
    <row r="110" spans="1:18" x14ac:dyDescent="0.2">
      <c r="A110" s="740" t="s">
        <v>273</v>
      </c>
      <c r="B110" s="697" t="s">
        <v>274</v>
      </c>
      <c r="C110" s="756" t="s">
        <v>275</v>
      </c>
      <c r="D110" s="698"/>
      <c r="E110" s="743"/>
      <c r="F110" s="751"/>
      <c r="G110" s="711" t="s">
        <v>276</v>
      </c>
      <c r="H110" s="743">
        <f t="shared" ref="H110:R110" si="42">H10/H4</f>
        <v>0.31769103728565995</v>
      </c>
      <c r="I110" s="743">
        <f t="shared" si="42"/>
        <v>0.30056231260327365</v>
      </c>
      <c r="J110" s="743">
        <f t="shared" si="42"/>
        <v>0.21903927850447877</v>
      </c>
      <c r="K110" s="743">
        <f t="shared" si="42"/>
        <v>0.19942826501761865</v>
      </c>
      <c r="L110" s="743">
        <f t="shared" si="42"/>
        <v>0.11729073095362696</v>
      </c>
      <c r="M110" s="743">
        <f t="shared" si="42"/>
        <v>9.8214285714285712E-2</v>
      </c>
      <c r="N110" s="743">
        <f t="shared" si="42"/>
        <v>7.6721883173496083E-2</v>
      </c>
      <c r="O110" s="743">
        <f t="shared" si="42"/>
        <v>7.0838252656434481E-2</v>
      </c>
      <c r="P110" s="743">
        <f t="shared" si="42"/>
        <v>7.0838252656434481E-2</v>
      </c>
      <c r="Q110" s="743">
        <f t="shared" si="42"/>
        <v>7.0838252656434481E-2</v>
      </c>
      <c r="R110" s="743">
        <f t="shared" si="42"/>
        <v>7.0838252656434481E-2</v>
      </c>
    </row>
    <row r="111" spans="1:18" x14ac:dyDescent="0.2">
      <c r="A111" s="740" t="s">
        <v>277</v>
      </c>
      <c r="B111" s="697" t="s">
        <v>278</v>
      </c>
      <c r="C111" s="756" t="s">
        <v>279</v>
      </c>
      <c r="D111" s="698"/>
      <c r="E111" s="743"/>
      <c r="F111" s="751"/>
      <c r="G111" s="711" t="s">
        <v>280</v>
      </c>
      <c r="H111" s="743">
        <f t="shared" ref="H111:R111" si="43">-(H58)/H15</f>
        <v>4.2457829526795048E-2</v>
      </c>
      <c r="I111" s="743">
        <f t="shared" si="43"/>
        <v>1.8131458895819758E-2</v>
      </c>
      <c r="J111" s="743">
        <f t="shared" si="43"/>
        <v>0.41477128147210868</v>
      </c>
      <c r="K111" s="743">
        <f t="shared" si="43"/>
        <v>0</v>
      </c>
      <c r="L111" s="743">
        <f t="shared" si="43"/>
        <v>2.547968489523747E-2</v>
      </c>
      <c r="M111" s="743">
        <f t="shared" si="43"/>
        <v>0</v>
      </c>
      <c r="N111" s="743">
        <f t="shared" si="43"/>
        <v>0</v>
      </c>
      <c r="O111" s="743">
        <f t="shared" si="43"/>
        <v>0</v>
      </c>
      <c r="P111" s="743">
        <f t="shared" si="43"/>
        <v>0</v>
      </c>
      <c r="Q111" s="743">
        <f t="shared" si="43"/>
        <v>0</v>
      </c>
      <c r="R111" s="743">
        <f t="shared" si="43"/>
        <v>0</v>
      </c>
    </row>
    <row r="112" spans="1:18" x14ac:dyDescent="0.2">
      <c r="A112" s="740" t="s">
        <v>281</v>
      </c>
      <c r="B112" s="697" t="s">
        <v>282</v>
      </c>
      <c r="C112" s="708" t="s">
        <v>283</v>
      </c>
      <c r="D112" s="698"/>
      <c r="E112" s="743"/>
      <c r="F112" s="751"/>
      <c r="G112" s="709" t="s">
        <v>284</v>
      </c>
      <c r="H112" s="747">
        <f t="shared" ref="H112:R112" si="44">H33/H4</f>
        <v>5.3192536465823563</v>
      </c>
      <c r="I112" s="747">
        <f t="shared" si="44"/>
        <v>6.7207297331708462</v>
      </c>
      <c r="J112" s="747">
        <f t="shared" si="44"/>
        <v>3.6303663978059495</v>
      </c>
      <c r="K112" s="747">
        <f t="shared" si="44"/>
        <v>5.130323019819218</v>
      </c>
      <c r="L112" s="747">
        <f t="shared" si="44"/>
        <v>3.4090926227313654</v>
      </c>
      <c r="M112" s="747">
        <f t="shared" si="44"/>
        <v>6.949851190476191</v>
      </c>
      <c r="N112" s="747">
        <f t="shared" si="44"/>
        <v>9.023539668700959</v>
      </c>
      <c r="O112" s="747">
        <f t="shared" si="44"/>
        <v>8.7012987012987004</v>
      </c>
      <c r="P112" s="747">
        <f t="shared" si="44"/>
        <v>8.4651711924439201</v>
      </c>
      <c r="Q112" s="747">
        <f t="shared" si="44"/>
        <v>8.4651711924439201</v>
      </c>
      <c r="R112" s="747">
        <f t="shared" si="44"/>
        <v>8.4651711924439201</v>
      </c>
    </row>
    <row r="113" spans="1:18" x14ac:dyDescent="0.2">
      <c r="A113" s="740" t="s">
        <v>285</v>
      </c>
      <c r="B113" s="697" t="s">
        <v>286</v>
      </c>
      <c r="C113" s="756" t="s">
        <v>287</v>
      </c>
      <c r="D113" s="698"/>
      <c r="E113" s="743"/>
      <c r="F113" s="751"/>
      <c r="G113" s="742" t="s">
        <v>288</v>
      </c>
      <c r="H113" s="747">
        <f t="shared" ref="H113:R113" si="45">H33/H15</f>
        <v>16.743480370204509</v>
      </c>
      <c r="I113" s="747">
        <f t="shared" si="45"/>
        <v>22.360520435713621</v>
      </c>
      <c r="J113" s="747">
        <f t="shared" si="45"/>
        <v>16.574042895834861</v>
      </c>
      <c r="K113" s="747">
        <f t="shared" si="45"/>
        <v>25.725154954168485</v>
      </c>
      <c r="L113" s="747">
        <f t="shared" si="45"/>
        <v>29.065319953366242</v>
      </c>
      <c r="M113" s="747">
        <f t="shared" si="45"/>
        <v>70.762121212121215</v>
      </c>
      <c r="N113" s="747">
        <f t="shared" si="45"/>
        <v>117.61363636363636</v>
      </c>
      <c r="O113" s="747">
        <f t="shared" si="45"/>
        <v>122.83333333333333</v>
      </c>
      <c r="P113" s="747">
        <f t="shared" si="45"/>
        <v>119.5</v>
      </c>
      <c r="Q113" s="747">
        <f t="shared" si="45"/>
        <v>119.5</v>
      </c>
      <c r="R113" s="747">
        <f t="shared" si="45"/>
        <v>119.5</v>
      </c>
    </row>
    <row r="114" spans="1:18" x14ac:dyDescent="0.2">
      <c r="A114" s="708" t="s">
        <v>289</v>
      </c>
      <c r="B114" s="697" t="s">
        <v>290</v>
      </c>
      <c r="C114" s="756" t="s">
        <v>291</v>
      </c>
      <c r="D114" s="745">
        <v>0.5</v>
      </c>
      <c r="E114" s="745">
        <f>1/3</f>
        <v>0.33333333333333331</v>
      </c>
      <c r="F114" s="751"/>
      <c r="G114" s="711" t="s">
        <v>292</v>
      </c>
      <c r="H114" s="743">
        <f t="shared" ref="H114:R114" si="46">H27/H4</f>
        <v>0.24967722277615684</v>
      </c>
      <c r="I114" s="743">
        <f t="shared" si="46"/>
        <v>0.44245145349203263</v>
      </c>
      <c r="J114" s="743">
        <f t="shared" si="46"/>
        <v>0.31349200289526641</v>
      </c>
      <c r="K114" s="743">
        <f t="shared" si="46"/>
        <v>0.3738875193247817</v>
      </c>
      <c r="L114" s="743">
        <f t="shared" si="46"/>
        <v>0.27290072799512838</v>
      </c>
      <c r="M114" s="743">
        <f t="shared" si="46"/>
        <v>0.25733854166666664</v>
      </c>
      <c r="N114" s="743">
        <f t="shared" si="46"/>
        <v>0.30240889276373145</v>
      </c>
      <c r="O114" s="743">
        <f t="shared" si="46"/>
        <v>0.40951948051948051</v>
      </c>
      <c r="P114" s="743">
        <f t="shared" si="46"/>
        <v>0.40951948051948051</v>
      </c>
      <c r="Q114" s="743">
        <f t="shared" si="46"/>
        <v>0.40951948051948051</v>
      </c>
      <c r="R114" s="743">
        <f t="shared" si="46"/>
        <v>0.40951948051948051</v>
      </c>
    </row>
    <row r="115" spans="1:18" x14ac:dyDescent="0.2">
      <c r="A115" s="757"/>
      <c r="B115" s="697"/>
      <c r="C115" s="757"/>
      <c r="D115" s="758"/>
      <c r="E115" s="759"/>
      <c r="F115" s="751"/>
      <c r="G115" s="706" t="s">
        <v>293</v>
      </c>
      <c r="H115" s="727">
        <f t="shared" ref="H115:R115" si="47">H109</f>
        <v>2011</v>
      </c>
      <c r="I115" s="727">
        <f t="shared" si="47"/>
        <v>2012</v>
      </c>
      <c r="J115" s="727">
        <f t="shared" si="47"/>
        <v>2013</v>
      </c>
      <c r="K115" s="727">
        <f t="shared" si="47"/>
        <v>2014</v>
      </c>
      <c r="L115" s="727">
        <f t="shared" si="47"/>
        <v>2015</v>
      </c>
      <c r="M115" s="727">
        <f t="shared" si="47"/>
        <v>2016</v>
      </c>
      <c r="N115" s="727">
        <f t="shared" si="47"/>
        <v>2017</v>
      </c>
      <c r="O115" s="727">
        <f t="shared" si="47"/>
        <v>2018</v>
      </c>
      <c r="P115" s="727">
        <f t="shared" si="47"/>
        <v>2019</v>
      </c>
      <c r="Q115" s="727">
        <f t="shared" si="47"/>
        <v>2020</v>
      </c>
      <c r="R115" s="727">
        <f t="shared" si="47"/>
        <v>2021</v>
      </c>
    </row>
    <row r="116" spans="1:18" x14ac:dyDescent="0.2">
      <c r="A116" s="708" t="s">
        <v>294</v>
      </c>
      <c r="B116" s="697" t="s">
        <v>295</v>
      </c>
      <c r="C116" s="708" t="s">
        <v>296</v>
      </c>
      <c r="D116" s="760"/>
      <c r="E116" s="745">
        <v>0.05</v>
      </c>
      <c r="F116" s="708"/>
      <c r="G116" s="709" t="s">
        <v>297</v>
      </c>
      <c r="H116" s="743">
        <f t="shared" ref="H116:R116" si="48">H35/H33</f>
        <v>0.10967255035736552</v>
      </c>
      <c r="I116" s="743">
        <f t="shared" si="48"/>
        <v>0.12537870925850325</v>
      </c>
      <c r="J116" s="743">
        <f t="shared" si="48"/>
        <v>0.12442873252967855</v>
      </c>
      <c r="K116" s="743">
        <f t="shared" si="48"/>
        <v>0.10221606944307526</v>
      </c>
      <c r="L116" s="743">
        <f t="shared" si="48"/>
        <v>0.12131042822986773</v>
      </c>
      <c r="M116" s="743">
        <f t="shared" si="48"/>
        <v>6.8089844335481653E-2</v>
      </c>
      <c r="N116" s="743">
        <f t="shared" si="48"/>
        <v>6.4734299516908206E-2</v>
      </c>
      <c r="O116" s="743">
        <f t="shared" si="48"/>
        <v>9.0909090909090912E-2</v>
      </c>
      <c r="P116" s="743">
        <f t="shared" si="48"/>
        <v>9.3444909344490928E-2</v>
      </c>
      <c r="Q116" s="743">
        <f t="shared" si="48"/>
        <v>9.3444909344490928E-2</v>
      </c>
      <c r="R116" s="743">
        <f t="shared" si="48"/>
        <v>9.3444909344490928E-2</v>
      </c>
    </row>
    <row r="117" spans="1:18" x14ac:dyDescent="0.2">
      <c r="A117" s="708" t="s">
        <v>298</v>
      </c>
      <c r="B117" s="697" t="s">
        <v>299</v>
      </c>
      <c r="C117" s="708" t="s">
        <v>300</v>
      </c>
      <c r="D117" s="698"/>
      <c r="E117" s="745">
        <v>0.95</v>
      </c>
      <c r="F117" s="708"/>
      <c r="G117" s="711" t="s">
        <v>301</v>
      </c>
      <c r="H117" s="743">
        <f t="shared" ref="H117:R117" si="49">(H36+H34)/H33</f>
        <v>0.89005329891367224</v>
      </c>
      <c r="I117" s="743">
        <f t="shared" si="49"/>
        <v>0.8740084026458278</v>
      </c>
      <c r="J117" s="743">
        <f t="shared" si="49"/>
        <v>0.87539355149704134</v>
      </c>
      <c r="K117" s="743">
        <f t="shared" si="49"/>
        <v>0.89778393055692474</v>
      </c>
      <c r="L117" s="743">
        <f t="shared" si="49"/>
        <v>0.87851731865439386</v>
      </c>
      <c r="M117" s="743">
        <f t="shared" si="49"/>
        <v>0.92880543005802629</v>
      </c>
      <c r="N117" s="743">
        <f t="shared" si="49"/>
        <v>0.93429951690821256</v>
      </c>
      <c r="O117" s="743">
        <f t="shared" si="49"/>
        <v>0.90909090909090906</v>
      </c>
      <c r="P117" s="743">
        <f t="shared" si="49"/>
        <v>0.9065550906555091</v>
      </c>
      <c r="Q117" s="743">
        <f t="shared" si="49"/>
        <v>0.9065550906555091</v>
      </c>
      <c r="R117" s="743">
        <f t="shared" si="49"/>
        <v>0.9065550906555091</v>
      </c>
    </row>
    <row r="118" spans="1:18" x14ac:dyDescent="0.2">
      <c r="A118" s="708" t="s">
        <v>302</v>
      </c>
      <c r="B118" s="697" t="s">
        <v>303</v>
      </c>
      <c r="C118" s="708" t="s">
        <v>304</v>
      </c>
      <c r="D118" s="698"/>
      <c r="E118" s="745">
        <v>0.95</v>
      </c>
      <c r="F118" s="708"/>
      <c r="G118" s="742" t="s">
        <v>305</v>
      </c>
      <c r="H118" s="743">
        <f t="shared" ref="H118:R118" si="50">H38/(H38+H41)</f>
        <v>0.66678184812715158</v>
      </c>
      <c r="I118" s="743">
        <f t="shared" si="50"/>
        <v>0.64812222102235972</v>
      </c>
      <c r="J118" s="743">
        <f t="shared" si="50"/>
        <v>0.66707714319494071</v>
      </c>
      <c r="K118" s="743">
        <f t="shared" si="50"/>
        <v>0.7184430669874744</v>
      </c>
      <c r="L118" s="743">
        <f t="shared" si="50"/>
        <v>0.64282442433594511</v>
      </c>
      <c r="M118" s="743">
        <f t="shared" si="50"/>
        <v>0.80180371352785151</v>
      </c>
      <c r="N118" s="743">
        <f t="shared" si="50"/>
        <v>0.82676328502415464</v>
      </c>
      <c r="O118" s="743">
        <f t="shared" si="50"/>
        <v>0.77340569877883314</v>
      </c>
      <c r="P118" s="743">
        <f t="shared" si="50"/>
        <v>0.76708507670850767</v>
      </c>
      <c r="Q118" s="743">
        <f t="shared" si="50"/>
        <v>0.76708507670850767</v>
      </c>
      <c r="R118" s="743">
        <f t="shared" si="50"/>
        <v>0.76708507670850767</v>
      </c>
    </row>
    <row r="119" spans="1:18" x14ac:dyDescent="0.2">
      <c r="A119" s="757"/>
      <c r="B119" s="697"/>
      <c r="C119" s="758"/>
      <c r="D119" s="758"/>
      <c r="E119" s="759"/>
      <c r="F119" s="751"/>
      <c r="G119" s="706" t="s">
        <v>306</v>
      </c>
      <c r="H119" s="727">
        <f t="shared" ref="H119:R119" si="51">H115</f>
        <v>2011</v>
      </c>
      <c r="I119" s="727">
        <f t="shared" si="51"/>
        <v>2012</v>
      </c>
      <c r="J119" s="727">
        <f t="shared" si="51"/>
        <v>2013</v>
      </c>
      <c r="K119" s="727">
        <f t="shared" si="51"/>
        <v>2014</v>
      </c>
      <c r="L119" s="727">
        <f t="shared" si="51"/>
        <v>2015</v>
      </c>
      <c r="M119" s="727">
        <f t="shared" si="51"/>
        <v>2016</v>
      </c>
      <c r="N119" s="727">
        <f t="shared" si="51"/>
        <v>2017</v>
      </c>
      <c r="O119" s="727">
        <f t="shared" si="51"/>
        <v>2018</v>
      </c>
      <c r="P119" s="727">
        <f t="shared" si="51"/>
        <v>2019</v>
      </c>
      <c r="Q119" s="727">
        <f t="shared" si="51"/>
        <v>2020</v>
      </c>
      <c r="R119" s="727">
        <f t="shared" si="51"/>
        <v>2021</v>
      </c>
    </row>
    <row r="120" spans="1:18" x14ac:dyDescent="0.2">
      <c r="A120" s="699" t="s">
        <v>307</v>
      </c>
      <c r="B120" s="697" t="s">
        <v>308</v>
      </c>
      <c r="C120" s="708" t="s">
        <v>309</v>
      </c>
      <c r="D120" s="761">
        <v>0.5</v>
      </c>
      <c r="E120" s="762" t="s">
        <v>310</v>
      </c>
      <c r="F120" s="699"/>
      <c r="G120" s="709" t="s">
        <v>311</v>
      </c>
      <c r="H120" s="747" t="str">
        <f t="shared" ref="H120:R120" si="52">IF(H116&lt;$D$120,$E$120,H35/H4)</f>
        <v>N/A</v>
      </c>
      <c r="I120" s="747" t="str">
        <f t="shared" si="52"/>
        <v>N/A</v>
      </c>
      <c r="J120" s="747" t="str">
        <f t="shared" si="52"/>
        <v>N/A</v>
      </c>
      <c r="K120" s="747" t="str">
        <f t="shared" si="52"/>
        <v>N/A</v>
      </c>
      <c r="L120" s="747" t="str">
        <f t="shared" si="52"/>
        <v>N/A</v>
      </c>
      <c r="M120" s="747" t="str">
        <f t="shared" si="52"/>
        <v>N/A</v>
      </c>
      <c r="N120" s="747" t="str">
        <f t="shared" si="52"/>
        <v>N/A</v>
      </c>
      <c r="O120" s="747" t="str">
        <f t="shared" si="52"/>
        <v>N/A</v>
      </c>
      <c r="P120" s="747" t="str">
        <f t="shared" si="52"/>
        <v>N/A</v>
      </c>
      <c r="Q120" s="747" t="str">
        <f t="shared" si="52"/>
        <v>N/A</v>
      </c>
      <c r="R120" s="747" t="str">
        <f t="shared" si="52"/>
        <v>N/A</v>
      </c>
    </row>
    <row r="121" spans="1:18" x14ac:dyDescent="0.2">
      <c r="A121" s="699" t="s">
        <v>312</v>
      </c>
      <c r="B121" s="697" t="s">
        <v>313</v>
      </c>
      <c r="C121" s="708" t="s">
        <v>314</v>
      </c>
      <c r="D121" s="761">
        <v>0.5</v>
      </c>
      <c r="E121" s="762" t="s">
        <v>310</v>
      </c>
      <c r="F121" s="699"/>
      <c r="G121" s="711" t="s">
        <v>315</v>
      </c>
      <c r="H121" s="747" t="str">
        <f t="shared" ref="H121:R121" si="53">IF(H116&lt;$D$121,$E$121,H35/H15)</f>
        <v>N/A</v>
      </c>
      <c r="I121" s="747" t="str">
        <f t="shared" si="53"/>
        <v>N/A</v>
      </c>
      <c r="J121" s="747" t="str">
        <f t="shared" si="53"/>
        <v>N/A</v>
      </c>
      <c r="K121" s="747" t="str">
        <f t="shared" si="53"/>
        <v>N/A</v>
      </c>
      <c r="L121" s="747" t="str">
        <f t="shared" si="53"/>
        <v>N/A</v>
      </c>
      <c r="M121" s="747" t="str">
        <f t="shared" si="53"/>
        <v>N/A</v>
      </c>
      <c r="N121" s="747" t="str">
        <f t="shared" si="53"/>
        <v>N/A</v>
      </c>
      <c r="O121" s="747" t="str">
        <f t="shared" si="53"/>
        <v>N/A</v>
      </c>
      <c r="P121" s="747" t="str">
        <f t="shared" si="53"/>
        <v>N/A</v>
      </c>
      <c r="Q121" s="747" t="str">
        <f t="shared" si="53"/>
        <v>N/A</v>
      </c>
      <c r="R121" s="747" t="str">
        <f t="shared" si="53"/>
        <v>N/A</v>
      </c>
    </row>
    <row r="122" spans="1:18" x14ac:dyDescent="0.2">
      <c r="A122" s="699" t="s">
        <v>316</v>
      </c>
      <c r="B122" s="697" t="s">
        <v>317</v>
      </c>
      <c r="C122" s="708" t="s">
        <v>217</v>
      </c>
      <c r="D122" s="761">
        <v>0.5</v>
      </c>
      <c r="E122" s="762" t="s">
        <v>310</v>
      </c>
      <c r="F122" s="699"/>
      <c r="G122" s="709" t="s">
        <v>318</v>
      </c>
      <c r="H122" s="743" t="str">
        <f t="shared" ref="H122:R122" si="54">IF(H116&lt;$D$122,$E$122,H46/H33)</f>
        <v>N/A</v>
      </c>
      <c r="I122" s="743" t="str">
        <f t="shared" si="54"/>
        <v>N/A</v>
      </c>
      <c r="J122" s="743" t="str">
        <f t="shared" si="54"/>
        <v>N/A</v>
      </c>
      <c r="K122" s="743" t="str">
        <f t="shared" si="54"/>
        <v>N/A</v>
      </c>
      <c r="L122" s="743" t="str">
        <f t="shared" si="54"/>
        <v>N/A</v>
      </c>
      <c r="M122" s="743" t="str">
        <f t="shared" si="54"/>
        <v>N/A</v>
      </c>
      <c r="N122" s="743" t="str">
        <f t="shared" si="54"/>
        <v>N/A</v>
      </c>
      <c r="O122" s="743" t="str">
        <f t="shared" si="54"/>
        <v>N/A</v>
      </c>
      <c r="P122" s="743" t="str">
        <f t="shared" si="54"/>
        <v>N/A</v>
      </c>
      <c r="Q122" s="743" t="str">
        <f t="shared" si="54"/>
        <v>N/A</v>
      </c>
      <c r="R122" s="743" t="str">
        <f t="shared" si="54"/>
        <v>N/A</v>
      </c>
    </row>
    <row r="123" spans="1:18" x14ac:dyDescent="0.2">
      <c r="A123" s="699" t="s">
        <v>319</v>
      </c>
      <c r="B123" s="697" t="s">
        <v>320</v>
      </c>
      <c r="C123" s="708" t="s">
        <v>321</v>
      </c>
      <c r="D123" s="761">
        <v>0.5</v>
      </c>
      <c r="E123" s="762" t="s">
        <v>310</v>
      </c>
      <c r="F123" s="699"/>
      <c r="G123" s="711" t="s">
        <v>322</v>
      </c>
      <c r="H123" s="743" t="str">
        <f t="shared" ref="H123:R123" si="55">IF(H116&lt;$D$122,$E$123,H51/H33)</f>
        <v>N/A</v>
      </c>
      <c r="I123" s="743" t="str">
        <f t="shared" si="55"/>
        <v>N/A</v>
      </c>
      <c r="J123" s="743" t="str">
        <f t="shared" si="55"/>
        <v>N/A</v>
      </c>
      <c r="K123" s="743" t="str">
        <f t="shared" si="55"/>
        <v>N/A</v>
      </c>
      <c r="L123" s="743" t="str">
        <f t="shared" si="55"/>
        <v>N/A</v>
      </c>
      <c r="M123" s="743" t="str">
        <f t="shared" si="55"/>
        <v>N/A</v>
      </c>
      <c r="N123" s="743" t="str">
        <f t="shared" si="55"/>
        <v>N/A</v>
      </c>
      <c r="O123" s="743" t="str">
        <f t="shared" si="55"/>
        <v>N/A</v>
      </c>
      <c r="P123" s="743" t="str">
        <f t="shared" si="55"/>
        <v>N/A</v>
      </c>
      <c r="Q123" s="743" t="str">
        <f t="shared" si="55"/>
        <v>N/A</v>
      </c>
      <c r="R123" s="743" t="str">
        <f t="shared" si="55"/>
        <v>N/A</v>
      </c>
    </row>
    <row r="124" spans="1:18" x14ac:dyDescent="0.2">
      <c r="A124" s="699" t="s">
        <v>323</v>
      </c>
      <c r="B124" s="697" t="s">
        <v>324</v>
      </c>
      <c r="C124" s="708" t="s">
        <v>325</v>
      </c>
      <c r="D124" s="761">
        <v>0.5</v>
      </c>
      <c r="E124" s="762" t="s">
        <v>310</v>
      </c>
      <c r="F124" s="699"/>
      <c r="G124" s="711" t="s">
        <v>326</v>
      </c>
      <c r="H124" s="743" t="str">
        <f t="shared" ref="H124:R124" si="56">IF(H116&lt;$D$124,$E$124,H51/H4)</f>
        <v>N/A</v>
      </c>
      <c r="I124" s="743" t="str">
        <f t="shared" si="56"/>
        <v>N/A</v>
      </c>
      <c r="J124" s="743" t="str">
        <f t="shared" si="56"/>
        <v>N/A</v>
      </c>
      <c r="K124" s="743" t="str">
        <f t="shared" si="56"/>
        <v>N/A</v>
      </c>
      <c r="L124" s="743" t="str">
        <f t="shared" si="56"/>
        <v>N/A</v>
      </c>
      <c r="M124" s="743" t="str">
        <f t="shared" si="56"/>
        <v>N/A</v>
      </c>
      <c r="N124" s="743" t="str">
        <f t="shared" si="56"/>
        <v>N/A</v>
      </c>
      <c r="O124" s="743" t="str">
        <f t="shared" si="56"/>
        <v>N/A</v>
      </c>
      <c r="P124" s="743" t="str">
        <f t="shared" si="56"/>
        <v>N/A</v>
      </c>
      <c r="Q124" s="743" t="str">
        <f t="shared" si="56"/>
        <v>N/A</v>
      </c>
      <c r="R124" s="743" t="str">
        <f t="shared" si="56"/>
        <v>N/A</v>
      </c>
    </row>
    <row r="125" spans="1:18" x14ac:dyDescent="0.2">
      <c r="A125" s="699" t="s">
        <v>327</v>
      </c>
      <c r="B125" s="697" t="s">
        <v>328</v>
      </c>
      <c r="C125" s="708" t="s">
        <v>329</v>
      </c>
      <c r="D125" s="761">
        <v>0.5</v>
      </c>
      <c r="E125" s="762" t="s">
        <v>310</v>
      </c>
      <c r="F125" s="699"/>
      <c r="G125" s="742" t="s">
        <v>330</v>
      </c>
      <c r="H125" s="743" t="str">
        <f t="shared" ref="H125:R125" si="57">IF(H116&lt;$D$125,$E$125,H51/H27)</f>
        <v>N/A</v>
      </c>
      <c r="I125" s="743" t="str">
        <f t="shared" si="57"/>
        <v>N/A</v>
      </c>
      <c r="J125" s="743" t="str">
        <f t="shared" si="57"/>
        <v>N/A</v>
      </c>
      <c r="K125" s="743" t="str">
        <f t="shared" si="57"/>
        <v>N/A</v>
      </c>
      <c r="L125" s="743" t="str">
        <f t="shared" si="57"/>
        <v>N/A</v>
      </c>
      <c r="M125" s="743" t="str">
        <f t="shared" si="57"/>
        <v>N/A</v>
      </c>
      <c r="N125" s="743" t="str">
        <f t="shared" si="57"/>
        <v>N/A</v>
      </c>
      <c r="O125" s="743" t="str">
        <f t="shared" si="57"/>
        <v>N/A</v>
      </c>
      <c r="P125" s="743" t="str">
        <f t="shared" si="57"/>
        <v>N/A</v>
      </c>
      <c r="Q125" s="743" t="str">
        <f t="shared" si="57"/>
        <v>N/A</v>
      </c>
      <c r="R125" s="743" t="str">
        <f t="shared" si="57"/>
        <v>N/A</v>
      </c>
    </row>
    <row r="126" spans="1:18" x14ac:dyDescent="0.2">
      <c r="A126" s="708"/>
      <c r="B126" s="697"/>
      <c r="C126" s="758"/>
      <c r="D126" s="758"/>
      <c r="E126" s="759"/>
      <c r="F126" s="699"/>
      <c r="G126" s="708"/>
      <c r="H126" s="708"/>
      <c r="I126" s="708"/>
      <c r="J126" s="708"/>
      <c r="K126" s="708"/>
      <c r="L126" s="708"/>
      <c r="M126" s="708"/>
      <c r="N126" s="708"/>
      <c r="O126" s="708"/>
      <c r="P126" s="708"/>
      <c r="Q126" s="708"/>
      <c r="R126" s="708"/>
    </row>
    <row r="127" spans="1:18" x14ac:dyDescent="0.2">
      <c r="A127" s="708"/>
      <c r="B127" s="697"/>
      <c r="C127" s="698"/>
      <c r="D127" s="698"/>
      <c r="E127" s="696"/>
      <c r="F127" s="699"/>
      <c r="G127" s="734"/>
      <c r="H127" s="727">
        <f t="shared" ref="H127:R127" si="58">H119</f>
        <v>2011</v>
      </c>
      <c r="I127" s="727">
        <f t="shared" si="58"/>
        <v>2012</v>
      </c>
      <c r="J127" s="727">
        <f t="shared" si="58"/>
        <v>2013</v>
      </c>
      <c r="K127" s="727">
        <f t="shared" si="58"/>
        <v>2014</v>
      </c>
      <c r="L127" s="727">
        <f t="shared" si="58"/>
        <v>2015</v>
      </c>
      <c r="M127" s="727">
        <f t="shared" si="58"/>
        <v>2016</v>
      </c>
      <c r="N127" s="727">
        <f t="shared" si="58"/>
        <v>2017</v>
      </c>
      <c r="O127" s="727">
        <f t="shared" si="58"/>
        <v>2018</v>
      </c>
      <c r="P127" s="727">
        <f t="shared" si="58"/>
        <v>2019</v>
      </c>
      <c r="Q127" s="727">
        <f t="shared" si="58"/>
        <v>2020</v>
      </c>
      <c r="R127" s="727">
        <f t="shared" si="58"/>
        <v>2021</v>
      </c>
    </row>
    <row r="128" spans="1:18" x14ac:dyDescent="0.2">
      <c r="A128" s="708"/>
      <c r="B128" s="697"/>
      <c r="C128" s="698"/>
      <c r="D128" s="698"/>
      <c r="E128" s="696"/>
      <c r="F128" s="708"/>
      <c r="G128" s="763" t="s">
        <v>331</v>
      </c>
      <c r="H128" s="764">
        <f t="shared" ref="H128:R128" si="59">H33</f>
        <v>4486.5829999999996</v>
      </c>
      <c r="I128" s="764">
        <f t="shared" si="59"/>
        <v>4803.4870000000001</v>
      </c>
      <c r="J128" s="764">
        <f t="shared" si="59"/>
        <v>4754.7780000000002</v>
      </c>
      <c r="K128" s="764">
        <f t="shared" si="59"/>
        <v>5893.6329999999998</v>
      </c>
      <c r="L128" s="764">
        <f t="shared" si="59"/>
        <v>5335.1720000000005</v>
      </c>
      <c r="M128" s="764">
        <f t="shared" si="59"/>
        <v>9340.6</v>
      </c>
      <c r="N128" s="764">
        <f t="shared" si="59"/>
        <v>10350</v>
      </c>
      <c r="O128" s="764">
        <f t="shared" si="59"/>
        <v>7370</v>
      </c>
      <c r="P128" s="764">
        <f t="shared" si="59"/>
        <v>7170</v>
      </c>
      <c r="Q128" s="764">
        <f t="shared" si="59"/>
        <v>7170</v>
      </c>
      <c r="R128" s="764">
        <f t="shared" si="59"/>
        <v>7170</v>
      </c>
    </row>
    <row r="129" spans="1:18" x14ac:dyDescent="0.2">
      <c r="A129" s="708"/>
      <c r="B129" s="697"/>
      <c r="C129" s="698"/>
      <c r="D129" s="698"/>
      <c r="E129" s="696"/>
      <c r="F129" s="708"/>
      <c r="G129" s="763" t="s">
        <v>332</v>
      </c>
      <c r="H129" s="764">
        <f t="shared" ref="H129:R130" si="60">H35</f>
        <v>492.05500000000001</v>
      </c>
      <c r="I129" s="764">
        <f t="shared" si="60"/>
        <v>602.255</v>
      </c>
      <c r="J129" s="764">
        <f t="shared" si="60"/>
        <v>591.63099999999997</v>
      </c>
      <c r="K129" s="764">
        <f t="shared" si="60"/>
        <v>602.42399999999998</v>
      </c>
      <c r="L129" s="764">
        <f t="shared" si="60"/>
        <v>647.21199999999999</v>
      </c>
      <c r="M129" s="764">
        <f t="shared" si="60"/>
        <v>636</v>
      </c>
      <c r="N129" s="764">
        <f t="shared" si="60"/>
        <v>670</v>
      </c>
      <c r="O129" s="764">
        <f t="shared" si="60"/>
        <v>670</v>
      </c>
      <c r="P129" s="764">
        <f t="shared" si="60"/>
        <v>670</v>
      </c>
      <c r="Q129" s="764">
        <f t="shared" si="60"/>
        <v>670</v>
      </c>
      <c r="R129" s="764">
        <f t="shared" si="60"/>
        <v>670</v>
      </c>
    </row>
    <row r="130" spans="1:18" x14ac:dyDescent="0.2">
      <c r="A130" s="708"/>
      <c r="B130" s="697"/>
      <c r="C130" s="698"/>
      <c r="D130" s="698"/>
      <c r="E130" s="696"/>
      <c r="F130" s="708"/>
      <c r="G130" s="763" t="s">
        <v>333</v>
      </c>
      <c r="H130" s="764">
        <f t="shared" si="60"/>
        <v>3993.2979999999998</v>
      </c>
      <c r="I130" s="764">
        <f t="shared" si="60"/>
        <v>4198.2879999999996</v>
      </c>
      <c r="J130" s="764">
        <f t="shared" si="60"/>
        <v>4162.3019999999997</v>
      </c>
      <c r="K130" s="764">
        <f t="shared" si="60"/>
        <v>5291.2089999999998</v>
      </c>
      <c r="L130" s="764">
        <f t="shared" si="60"/>
        <v>4687.0410000000002</v>
      </c>
      <c r="M130" s="764">
        <f t="shared" si="60"/>
        <v>8675.6</v>
      </c>
      <c r="N130" s="764">
        <f t="shared" si="60"/>
        <v>9670</v>
      </c>
      <c r="O130" s="764">
        <f t="shared" si="60"/>
        <v>6700</v>
      </c>
      <c r="P130" s="764">
        <f t="shared" si="60"/>
        <v>6500</v>
      </c>
      <c r="Q130" s="764">
        <f t="shared" si="60"/>
        <v>6500</v>
      </c>
      <c r="R130" s="764">
        <f t="shared" si="60"/>
        <v>6500</v>
      </c>
    </row>
    <row r="131" spans="1:18" x14ac:dyDescent="0.2">
      <c r="A131" s="708"/>
      <c r="B131" s="697"/>
      <c r="C131" s="698"/>
      <c r="D131" s="698"/>
      <c r="E131" s="696"/>
      <c r="F131" s="708"/>
      <c r="G131" s="763" t="s">
        <v>334</v>
      </c>
      <c r="H131" s="764">
        <f t="shared" ref="H131:R131" si="61">H38+H41</f>
        <v>-4595.6469999999999</v>
      </c>
      <c r="I131" s="764">
        <f t="shared" si="61"/>
        <v>-4769.0649999999996</v>
      </c>
      <c r="J131" s="764">
        <f t="shared" si="61"/>
        <v>-4660.4369999999999</v>
      </c>
      <c r="K131" s="764">
        <f t="shared" si="61"/>
        <v>-5874.7549999999992</v>
      </c>
      <c r="L131" s="764">
        <f t="shared" si="61"/>
        <v>-5339.92</v>
      </c>
      <c r="M131" s="764">
        <f t="shared" si="61"/>
        <v>-9425</v>
      </c>
      <c r="N131" s="764">
        <f t="shared" si="61"/>
        <v>-10350</v>
      </c>
      <c r="O131" s="764">
        <f t="shared" si="61"/>
        <v>-7370</v>
      </c>
      <c r="P131" s="764">
        <f t="shared" si="61"/>
        <v>-7170</v>
      </c>
      <c r="Q131" s="764">
        <f t="shared" si="61"/>
        <v>-7170</v>
      </c>
      <c r="R131" s="764">
        <f t="shared" si="61"/>
        <v>-7170</v>
      </c>
    </row>
    <row r="132" spans="1:18" x14ac:dyDescent="0.2">
      <c r="A132" s="708"/>
      <c r="B132" s="697"/>
      <c r="C132" s="698"/>
      <c r="D132" s="698"/>
      <c r="E132" s="696"/>
      <c r="F132" s="708"/>
      <c r="G132" s="763" t="s">
        <v>335</v>
      </c>
      <c r="H132" s="764">
        <f t="shared" ref="H132:R132" si="62">H41</f>
        <v>-1531.3530000000001</v>
      </c>
      <c r="I132" s="764">
        <f t="shared" si="62"/>
        <v>-1678.1279999999999</v>
      </c>
      <c r="J132" s="764">
        <f t="shared" si="62"/>
        <v>-1551.566</v>
      </c>
      <c r="K132" s="764">
        <f t="shared" si="62"/>
        <v>-1654.078</v>
      </c>
      <c r="L132" s="764">
        <f t="shared" si="62"/>
        <v>-1907.2890000000002</v>
      </c>
      <c r="M132" s="764">
        <f t="shared" si="62"/>
        <v>-1868</v>
      </c>
      <c r="N132" s="764">
        <f t="shared" si="62"/>
        <v>-1793</v>
      </c>
      <c r="O132" s="764">
        <f t="shared" si="62"/>
        <v>-1670</v>
      </c>
      <c r="P132" s="764">
        <f t="shared" si="62"/>
        <v>-1670</v>
      </c>
      <c r="Q132" s="764">
        <f t="shared" si="62"/>
        <v>-1670</v>
      </c>
      <c r="R132" s="764">
        <f t="shared" si="62"/>
        <v>-1670</v>
      </c>
    </row>
    <row r="133" spans="1:18" x14ac:dyDescent="0.2">
      <c r="A133" s="708"/>
      <c r="B133" s="697"/>
      <c r="C133" s="698"/>
      <c r="D133" s="698"/>
      <c r="E133" s="696"/>
      <c r="F133" s="708"/>
      <c r="G133" s="763" t="s">
        <v>336</v>
      </c>
      <c r="H133" s="764">
        <f t="shared" ref="H133:R133" si="63">H38</f>
        <v>-3064.2939999999999</v>
      </c>
      <c r="I133" s="764">
        <f t="shared" si="63"/>
        <v>-3090.9369999999999</v>
      </c>
      <c r="J133" s="764">
        <f t="shared" si="63"/>
        <v>-3108.8710000000001</v>
      </c>
      <c r="K133" s="764">
        <f t="shared" si="63"/>
        <v>-4220.6769999999997</v>
      </c>
      <c r="L133" s="764">
        <f t="shared" si="63"/>
        <v>-3432.6309999999999</v>
      </c>
      <c r="M133" s="764">
        <f t="shared" si="63"/>
        <v>-7557</v>
      </c>
      <c r="N133" s="764">
        <f t="shared" si="63"/>
        <v>-8557</v>
      </c>
      <c r="O133" s="764">
        <f t="shared" si="63"/>
        <v>-5700</v>
      </c>
      <c r="P133" s="764">
        <f t="shared" si="63"/>
        <v>-5500</v>
      </c>
      <c r="Q133" s="764">
        <f t="shared" si="63"/>
        <v>-5500</v>
      </c>
      <c r="R133" s="764">
        <f t="shared" si="63"/>
        <v>-5500</v>
      </c>
    </row>
    <row r="134" spans="1:18" x14ac:dyDescent="0.2">
      <c r="A134" s="708"/>
      <c r="B134" s="697"/>
      <c r="C134" s="698"/>
      <c r="D134" s="698"/>
      <c r="E134" s="696"/>
      <c r="F134" s="708"/>
      <c r="G134" s="763" t="s">
        <v>337</v>
      </c>
      <c r="H134" s="764">
        <f t="shared" ref="H134:R134" si="64">H46</f>
        <v>-109.06400000000031</v>
      </c>
      <c r="I134" s="764">
        <f t="shared" si="64"/>
        <v>34.422000000000253</v>
      </c>
      <c r="J134" s="764">
        <f t="shared" si="64"/>
        <v>94.341000000000122</v>
      </c>
      <c r="K134" s="764">
        <f t="shared" si="64"/>
        <v>18.878000000000156</v>
      </c>
      <c r="L134" s="764">
        <f t="shared" si="64"/>
        <v>-4.7479999999995925</v>
      </c>
      <c r="M134" s="764">
        <f t="shared" si="64"/>
        <v>-84.399999999999636</v>
      </c>
      <c r="N134" s="764">
        <f t="shared" si="64"/>
        <v>0</v>
      </c>
      <c r="O134" s="764">
        <f t="shared" si="64"/>
        <v>0</v>
      </c>
      <c r="P134" s="764">
        <f t="shared" si="64"/>
        <v>0</v>
      </c>
      <c r="Q134" s="764">
        <f t="shared" si="64"/>
        <v>0</v>
      </c>
      <c r="R134" s="764">
        <f t="shared" si="64"/>
        <v>0</v>
      </c>
    </row>
    <row r="135" spans="1:18" x14ac:dyDescent="0.2">
      <c r="A135" s="708"/>
      <c r="B135" s="697"/>
      <c r="C135" s="698"/>
      <c r="D135" s="698"/>
      <c r="E135" s="696"/>
      <c r="F135" s="708"/>
      <c r="G135" s="763" t="s">
        <v>338</v>
      </c>
      <c r="H135" s="764">
        <f t="shared" ref="H135:R135" si="65">H51</f>
        <v>-108.09100000000031</v>
      </c>
      <c r="I135" s="764">
        <f t="shared" si="65"/>
        <v>34.468000000000252</v>
      </c>
      <c r="J135" s="764">
        <f t="shared" si="65"/>
        <v>94.356000000000122</v>
      </c>
      <c r="K135" s="764">
        <f t="shared" si="65"/>
        <v>18.929000000000155</v>
      </c>
      <c r="L135" s="764">
        <f t="shared" si="65"/>
        <v>-2.4309999999995924</v>
      </c>
      <c r="M135" s="764">
        <f t="shared" si="65"/>
        <v>-81.099999999999639</v>
      </c>
      <c r="N135" s="764">
        <f t="shared" si="65"/>
        <v>0</v>
      </c>
      <c r="O135" s="764">
        <f t="shared" si="65"/>
        <v>0</v>
      </c>
      <c r="P135" s="764">
        <f t="shared" si="65"/>
        <v>0</v>
      </c>
      <c r="Q135" s="764">
        <f t="shared" si="65"/>
        <v>0</v>
      </c>
      <c r="R135" s="764">
        <f t="shared" si="65"/>
        <v>0</v>
      </c>
    </row>
    <row r="136" spans="1:18" x14ac:dyDescent="0.2">
      <c r="A136" s="708"/>
      <c r="B136" s="697"/>
      <c r="C136" s="698"/>
      <c r="D136" s="698"/>
      <c r="E136" s="696"/>
      <c r="F136" s="708"/>
      <c r="G136" s="763" t="s">
        <v>339</v>
      </c>
      <c r="H136" s="764">
        <f t="shared" ref="H136:R137" si="66">H4</f>
        <v>843.46099999999979</v>
      </c>
      <c r="I136" s="764">
        <f t="shared" si="66"/>
        <v>714.72700000000009</v>
      </c>
      <c r="J136" s="764">
        <f t="shared" si="66"/>
        <v>1309.7240000000002</v>
      </c>
      <c r="K136" s="764">
        <f t="shared" si="66"/>
        <v>1148.7839999999999</v>
      </c>
      <c r="L136" s="764">
        <f t="shared" si="66"/>
        <v>1564.9829999999999</v>
      </c>
      <c r="M136" s="764">
        <f t="shared" si="66"/>
        <v>1344</v>
      </c>
      <c r="N136" s="764">
        <f t="shared" si="66"/>
        <v>1147</v>
      </c>
      <c r="O136" s="764">
        <f t="shared" si="66"/>
        <v>847</v>
      </c>
      <c r="P136" s="764">
        <f t="shared" si="66"/>
        <v>847</v>
      </c>
      <c r="Q136" s="764">
        <f t="shared" si="66"/>
        <v>847</v>
      </c>
      <c r="R136" s="764">
        <f t="shared" si="66"/>
        <v>847</v>
      </c>
    </row>
    <row r="137" spans="1:18" x14ac:dyDescent="0.2">
      <c r="A137" s="708"/>
      <c r="B137" s="697"/>
      <c r="C137" s="698"/>
      <c r="D137" s="698"/>
      <c r="E137" s="696"/>
      <c r="F137" s="708"/>
      <c r="G137" s="763" t="s">
        <v>340</v>
      </c>
      <c r="H137" s="764">
        <f t="shared" si="66"/>
        <v>575.50099999999986</v>
      </c>
      <c r="I137" s="764">
        <f t="shared" si="66"/>
        <v>499.90700000000004</v>
      </c>
      <c r="J137" s="764">
        <f t="shared" si="66"/>
        <v>1022.8430000000001</v>
      </c>
      <c r="K137" s="764">
        <f t="shared" si="66"/>
        <v>919.68399999999997</v>
      </c>
      <c r="L137" s="764">
        <f t="shared" si="66"/>
        <v>1381.425</v>
      </c>
      <c r="M137" s="764">
        <f t="shared" si="66"/>
        <v>1212</v>
      </c>
      <c r="N137" s="764">
        <f t="shared" si="66"/>
        <v>1059</v>
      </c>
      <c r="O137" s="764">
        <f t="shared" si="66"/>
        <v>787</v>
      </c>
      <c r="P137" s="764">
        <f t="shared" si="66"/>
        <v>787</v>
      </c>
      <c r="Q137" s="764">
        <f t="shared" si="66"/>
        <v>787</v>
      </c>
      <c r="R137" s="764">
        <f t="shared" si="66"/>
        <v>787</v>
      </c>
    </row>
    <row r="138" spans="1:18" x14ac:dyDescent="0.2">
      <c r="A138" s="708"/>
      <c r="B138" s="697"/>
      <c r="C138" s="698"/>
      <c r="D138" s="698"/>
      <c r="E138" s="696"/>
      <c r="F138" s="708"/>
      <c r="G138" s="763" t="s">
        <v>341</v>
      </c>
      <c r="H138" s="764">
        <f t="shared" ref="H138:R138" si="67">H10</f>
        <v>267.95999999999998</v>
      </c>
      <c r="I138" s="764">
        <f t="shared" si="67"/>
        <v>214.82</v>
      </c>
      <c r="J138" s="764">
        <f t="shared" si="67"/>
        <v>286.88099999999997</v>
      </c>
      <c r="K138" s="764">
        <f t="shared" si="67"/>
        <v>229.1</v>
      </c>
      <c r="L138" s="764">
        <f t="shared" si="67"/>
        <v>183.55799999999999</v>
      </c>
      <c r="M138" s="764">
        <f t="shared" si="67"/>
        <v>132</v>
      </c>
      <c r="N138" s="764">
        <f t="shared" si="67"/>
        <v>88</v>
      </c>
      <c r="O138" s="764">
        <f t="shared" si="67"/>
        <v>60</v>
      </c>
      <c r="P138" s="764">
        <f t="shared" si="67"/>
        <v>60</v>
      </c>
      <c r="Q138" s="764">
        <f t="shared" si="67"/>
        <v>60</v>
      </c>
      <c r="R138" s="764">
        <f t="shared" si="67"/>
        <v>60</v>
      </c>
    </row>
    <row r="139" spans="1:18" x14ac:dyDescent="0.2">
      <c r="A139" s="708"/>
      <c r="B139" s="697"/>
      <c r="C139" s="698"/>
      <c r="D139" s="698"/>
      <c r="E139" s="696"/>
      <c r="F139" s="708"/>
      <c r="G139" s="763" t="s">
        <v>342</v>
      </c>
      <c r="H139" s="764">
        <f t="shared" ref="H139:R140" si="68">H19</f>
        <v>632.86800000000005</v>
      </c>
      <c r="I139" s="764">
        <f t="shared" si="68"/>
        <v>398.495</v>
      </c>
      <c r="J139" s="764">
        <f t="shared" si="68"/>
        <v>899.13599999999997</v>
      </c>
      <c r="K139" s="764">
        <f t="shared" si="68"/>
        <v>719.26700000000005</v>
      </c>
      <c r="L139" s="764">
        <f t="shared" si="68"/>
        <v>1137.8969999999999</v>
      </c>
      <c r="M139" s="764">
        <f t="shared" si="68"/>
        <v>998</v>
      </c>
      <c r="N139" s="764">
        <f t="shared" si="68"/>
        <v>800</v>
      </c>
      <c r="O139" s="764">
        <f t="shared" si="68"/>
        <v>500</v>
      </c>
      <c r="P139" s="764">
        <f t="shared" si="68"/>
        <v>500</v>
      </c>
      <c r="Q139" s="764">
        <f t="shared" si="68"/>
        <v>500</v>
      </c>
      <c r="R139" s="764">
        <f t="shared" si="68"/>
        <v>500</v>
      </c>
    </row>
    <row r="140" spans="1:18" x14ac:dyDescent="0.2">
      <c r="A140" s="708"/>
      <c r="B140" s="697"/>
      <c r="C140" s="698"/>
      <c r="D140" s="698"/>
      <c r="E140" s="696"/>
      <c r="F140" s="708"/>
      <c r="G140" s="763" t="s">
        <v>343</v>
      </c>
      <c r="H140" s="764">
        <f t="shared" si="68"/>
        <v>561.697</v>
      </c>
      <c r="I140" s="764">
        <f t="shared" si="68"/>
        <v>398.495</v>
      </c>
      <c r="J140" s="764">
        <f t="shared" si="68"/>
        <v>899.13599999999997</v>
      </c>
      <c r="K140" s="764">
        <f t="shared" si="68"/>
        <v>719.26700000000005</v>
      </c>
      <c r="L140" s="764">
        <f t="shared" si="68"/>
        <v>1137.8969999999999</v>
      </c>
      <c r="M140" s="764">
        <f t="shared" si="68"/>
        <v>998</v>
      </c>
      <c r="N140" s="764">
        <f t="shared" si="68"/>
        <v>800</v>
      </c>
      <c r="O140" s="764">
        <f t="shared" si="68"/>
        <v>500</v>
      </c>
      <c r="P140" s="764">
        <f t="shared" si="68"/>
        <v>500</v>
      </c>
      <c r="Q140" s="764">
        <f t="shared" si="68"/>
        <v>500</v>
      </c>
      <c r="R140" s="764">
        <f t="shared" si="68"/>
        <v>500</v>
      </c>
    </row>
    <row r="141" spans="1:18" x14ac:dyDescent="0.2">
      <c r="A141" s="708"/>
      <c r="B141" s="697"/>
      <c r="C141" s="698"/>
      <c r="D141" s="698"/>
      <c r="E141" s="696"/>
      <c r="F141" s="708"/>
      <c r="G141" s="763" t="s">
        <v>344</v>
      </c>
      <c r="H141" s="764">
        <f t="shared" ref="H141:R141" si="69">H24</f>
        <v>71.171000000000006</v>
      </c>
      <c r="I141" s="764">
        <f t="shared" si="69"/>
        <v>0</v>
      </c>
      <c r="J141" s="764">
        <f t="shared" si="69"/>
        <v>0</v>
      </c>
      <c r="K141" s="764">
        <f t="shared" si="69"/>
        <v>0</v>
      </c>
      <c r="L141" s="764">
        <f t="shared" si="69"/>
        <v>0</v>
      </c>
      <c r="M141" s="764">
        <f t="shared" si="69"/>
        <v>0</v>
      </c>
      <c r="N141" s="764">
        <f t="shared" si="69"/>
        <v>0</v>
      </c>
      <c r="O141" s="764">
        <f t="shared" si="69"/>
        <v>0</v>
      </c>
      <c r="P141" s="764">
        <f t="shared" si="69"/>
        <v>0</v>
      </c>
      <c r="Q141" s="764">
        <f t="shared" si="69"/>
        <v>0</v>
      </c>
      <c r="R141" s="764">
        <f t="shared" si="69"/>
        <v>0</v>
      </c>
    </row>
    <row r="142" spans="1:18" x14ac:dyDescent="0.2">
      <c r="A142" s="708"/>
      <c r="B142" s="697"/>
      <c r="C142" s="698"/>
      <c r="D142" s="698"/>
      <c r="E142" s="696"/>
      <c r="F142" s="708"/>
      <c r="G142" s="763" t="s">
        <v>345</v>
      </c>
      <c r="H142" s="764">
        <f t="shared" ref="H142:R142" si="70">H27</f>
        <v>210.59299999999996</v>
      </c>
      <c r="I142" s="764">
        <f t="shared" si="70"/>
        <v>316.23200000000003</v>
      </c>
      <c r="J142" s="764">
        <f t="shared" si="70"/>
        <v>410.58799999999997</v>
      </c>
      <c r="K142" s="764">
        <f t="shared" si="70"/>
        <v>429.51599999999996</v>
      </c>
      <c r="L142" s="764">
        <f t="shared" si="70"/>
        <v>427.08499999999998</v>
      </c>
      <c r="M142" s="764">
        <f t="shared" si="70"/>
        <v>345.863</v>
      </c>
      <c r="N142" s="764">
        <f t="shared" si="70"/>
        <v>346.863</v>
      </c>
      <c r="O142" s="764">
        <f t="shared" si="70"/>
        <v>346.863</v>
      </c>
      <c r="P142" s="764">
        <f t="shared" si="70"/>
        <v>346.863</v>
      </c>
      <c r="Q142" s="764">
        <f t="shared" si="70"/>
        <v>346.863</v>
      </c>
      <c r="R142" s="764">
        <f t="shared" si="70"/>
        <v>346.863</v>
      </c>
    </row>
    <row r="143" spans="1:18" x14ac:dyDescent="0.2">
      <c r="A143" s="708"/>
      <c r="B143" s="697"/>
      <c r="C143" s="758"/>
      <c r="D143" s="758"/>
      <c r="E143" s="759"/>
      <c r="F143" s="708"/>
      <c r="G143" s="708"/>
      <c r="H143" s="708"/>
      <c r="I143" s="708"/>
      <c r="J143" s="708"/>
      <c r="K143" s="708"/>
      <c r="L143" s="708"/>
      <c r="M143" s="708"/>
      <c r="N143" s="708"/>
      <c r="O143" s="708"/>
      <c r="P143" s="708"/>
      <c r="Q143" s="708"/>
      <c r="R143" s="708"/>
    </row>
    <row r="144" spans="1:18" x14ac:dyDescent="0.2">
      <c r="A144" s="708"/>
      <c r="B144" s="697"/>
      <c r="C144" s="708" t="s">
        <v>346</v>
      </c>
      <c r="D144" s="698"/>
      <c r="E144" s="696"/>
      <c r="F144" s="708"/>
      <c r="G144" s="708"/>
      <c r="H144" s="708"/>
      <c r="I144" s="708"/>
      <c r="J144" s="708"/>
      <c r="K144" s="708"/>
      <c r="L144" s="708"/>
      <c r="M144" s="708"/>
      <c r="N144" s="708"/>
      <c r="O144" s="708"/>
      <c r="P144" s="708"/>
      <c r="Q144" s="708"/>
      <c r="R144" s="708"/>
    </row>
    <row r="145" spans="1:18" x14ac:dyDescent="0.2">
      <c r="A145" s="708"/>
      <c r="B145" s="697"/>
      <c r="C145" s="708"/>
      <c r="D145" s="698"/>
      <c r="E145" s="696"/>
      <c r="F145" s="708"/>
      <c r="G145" s="734"/>
      <c r="H145" s="734"/>
      <c r="I145" s="734"/>
      <c r="J145" s="734"/>
      <c r="K145" s="734"/>
      <c r="L145" s="734"/>
      <c r="M145" s="734"/>
      <c r="N145" s="734"/>
      <c r="O145" s="734"/>
      <c r="P145" s="734"/>
      <c r="Q145" s="734"/>
      <c r="R145" s="734"/>
    </row>
    <row r="146" spans="1:18" x14ac:dyDescent="0.2">
      <c r="A146" s="708"/>
      <c r="B146" s="697"/>
      <c r="C146" s="708" t="s">
        <v>347</v>
      </c>
      <c r="D146" s="698"/>
      <c r="E146" s="696"/>
      <c r="F146" s="708"/>
      <c r="G146" s="734"/>
      <c r="H146" s="734"/>
      <c r="I146" s="734"/>
      <c r="J146" s="734"/>
      <c r="K146" s="734"/>
      <c r="L146" s="734"/>
      <c r="M146" s="734"/>
      <c r="N146" s="734"/>
      <c r="O146" s="734"/>
      <c r="P146" s="734"/>
      <c r="Q146" s="734"/>
      <c r="R146" s="734"/>
    </row>
    <row r="147" spans="1:18" x14ac:dyDescent="0.2">
      <c r="A147" s="708"/>
      <c r="B147" s="697"/>
      <c r="C147" s="708" t="s">
        <v>348</v>
      </c>
      <c r="D147" s="698"/>
      <c r="E147" s="696"/>
      <c r="F147" s="714"/>
      <c r="G147" s="732"/>
      <c r="H147" s="732"/>
      <c r="I147" s="732"/>
      <c r="J147" s="732"/>
      <c r="K147" s="732"/>
      <c r="L147" s="732"/>
      <c r="M147" s="732"/>
      <c r="N147" s="732"/>
      <c r="O147" s="732"/>
      <c r="P147" s="732"/>
      <c r="Q147" s="732"/>
      <c r="R147" s="732"/>
    </row>
    <row r="148" spans="1:18" x14ac:dyDescent="0.2">
      <c r="A148" s="708"/>
      <c r="B148" s="697"/>
      <c r="C148" s="708"/>
      <c r="D148" s="698"/>
      <c r="E148" s="696"/>
      <c r="F148" s="714"/>
      <c r="G148" s="732"/>
      <c r="H148" s="732"/>
      <c r="I148" s="732"/>
      <c r="J148" s="732"/>
      <c r="K148" s="732"/>
      <c r="L148" s="732"/>
      <c r="M148" s="732"/>
      <c r="N148" s="732"/>
      <c r="O148" s="732"/>
      <c r="P148" s="732"/>
      <c r="Q148" s="732"/>
      <c r="R148" s="732"/>
    </row>
    <row r="149" spans="1:18" x14ac:dyDescent="0.2">
      <c r="A149" s="708"/>
      <c r="B149" s="697"/>
      <c r="C149" s="708" t="s">
        <v>349</v>
      </c>
      <c r="D149" s="698"/>
      <c r="E149" s="696"/>
      <c r="F149" s="714"/>
      <c r="G149" s="734"/>
      <c r="H149" s="699"/>
      <c r="I149" s="699"/>
      <c r="J149" s="699"/>
      <c r="K149" s="699"/>
      <c r="L149" s="699"/>
      <c r="M149" s="699"/>
      <c r="N149" s="699"/>
      <c r="O149" s="699"/>
      <c r="P149" s="699"/>
      <c r="Q149" s="699"/>
      <c r="R149" s="699"/>
    </row>
    <row r="150" spans="1:18" x14ac:dyDescent="0.2">
      <c r="A150" s="708"/>
      <c r="B150" s="697"/>
      <c r="C150" s="708" t="s">
        <v>350</v>
      </c>
      <c r="D150" s="698"/>
      <c r="E150" s="696"/>
      <c r="F150" s="714"/>
      <c r="G150" s="734"/>
      <c r="H150" s="699"/>
      <c r="I150" s="699"/>
      <c r="J150" s="699"/>
      <c r="K150" s="699"/>
      <c r="L150" s="699"/>
      <c r="M150" s="699"/>
      <c r="N150" s="699"/>
      <c r="O150" s="699"/>
      <c r="P150" s="699"/>
      <c r="Q150" s="699"/>
      <c r="R150" s="699"/>
    </row>
    <row r="151" spans="1:18" x14ac:dyDescent="0.2">
      <c r="A151" s="708"/>
      <c r="B151" s="697"/>
      <c r="C151" s="698"/>
      <c r="D151" s="698"/>
      <c r="E151" s="696"/>
      <c r="F151" s="708"/>
      <c r="G151" s="734"/>
      <c r="H151" s="699"/>
      <c r="I151" s="699"/>
      <c r="J151" s="699"/>
      <c r="K151" s="699"/>
      <c r="L151" s="699"/>
      <c r="M151" s="699"/>
      <c r="N151" s="699"/>
      <c r="O151" s="699"/>
      <c r="P151" s="699"/>
      <c r="Q151" s="699"/>
      <c r="R151" s="699"/>
    </row>
  </sheetData>
  <mergeCells count="3">
    <mergeCell ref="K2:L2"/>
    <mergeCell ref="M2:R2"/>
    <mergeCell ref="D87:E8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21.570312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21.570312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21.570312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21.570312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21.570312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21.570312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21.570312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21.570312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21.570312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21.570312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21.570312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21.570312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21.570312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21.570312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21.570312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21.570312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21.570312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21.570312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21.570312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21.570312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21.570312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21.570312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21.570312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21.570312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21.570312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21.570312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21.570312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21.570312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21.570312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21.570312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21.570312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21.570312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21.570312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21.570312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21.570312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21.570312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21.570312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21.570312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21.570312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21.570312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21.570312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21.570312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21.570312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21.570312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21.570312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21.570312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21.570312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21.570312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21.570312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21.570312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21.570312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21.570312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21.570312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21.570312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21.570312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21.570312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21.570312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21.570312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21.570312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21.570312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21.570312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21.570312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21.570312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21.570312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441" t="s">
        <v>449</v>
      </c>
      <c r="H2" s="442" t="s">
        <v>450</v>
      </c>
      <c r="I2" s="443"/>
      <c r="J2" s="444"/>
      <c r="K2" s="1204" t="s">
        <v>6</v>
      </c>
      <c r="L2" s="1205"/>
      <c r="M2" s="1206"/>
      <c r="N2" s="1207"/>
      <c r="O2" s="1207"/>
      <c r="P2" s="1207"/>
      <c r="Q2" s="1207"/>
      <c r="R2" s="1208"/>
    </row>
    <row r="3" spans="1:18" x14ac:dyDescent="0.2">
      <c r="A3" s="1"/>
      <c r="B3" s="10"/>
      <c r="C3" s="3"/>
      <c r="D3" s="3"/>
      <c r="E3" s="1"/>
      <c r="F3" s="1"/>
      <c r="G3" s="445" t="s">
        <v>7</v>
      </c>
      <c r="H3" s="446">
        <v>40908</v>
      </c>
      <c r="I3" s="446">
        <v>41274</v>
      </c>
      <c r="J3" s="446">
        <v>41639</v>
      </c>
      <c r="K3" s="446">
        <v>42004</v>
      </c>
      <c r="L3" s="446">
        <v>42369</v>
      </c>
      <c r="M3" s="446">
        <v>42735</v>
      </c>
      <c r="N3" s="446">
        <v>43100</v>
      </c>
      <c r="O3" s="446">
        <v>43465</v>
      </c>
      <c r="P3" s="446">
        <v>43830</v>
      </c>
      <c r="Q3" s="446">
        <v>44196</v>
      </c>
      <c r="R3" s="446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447" t="s">
        <v>9</v>
      </c>
      <c r="H4" s="448">
        <f t="shared" ref="H4:R4" si="0">H5+H10</f>
        <v>22248.53</v>
      </c>
      <c r="I4" s="448">
        <f t="shared" si="0"/>
        <v>21934.411</v>
      </c>
      <c r="J4" s="448">
        <f t="shared" si="0"/>
        <v>21647.382000000001</v>
      </c>
      <c r="K4" s="448">
        <f t="shared" si="0"/>
        <v>21580.511000000002</v>
      </c>
      <c r="L4" s="448">
        <f t="shared" si="0"/>
        <v>21049.253000000001</v>
      </c>
      <c r="M4" s="448">
        <f t="shared" si="0"/>
        <v>21045</v>
      </c>
      <c r="N4" s="448">
        <f t="shared" si="0"/>
        <v>20524</v>
      </c>
      <c r="O4" s="448">
        <f t="shared" si="0"/>
        <v>20380</v>
      </c>
      <c r="P4" s="448">
        <f t="shared" si="0"/>
        <v>20576</v>
      </c>
      <c r="Q4" s="448">
        <f t="shared" si="0"/>
        <v>20298</v>
      </c>
      <c r="R4" s="448">
        <f t="shared" si="0"/>
        <v>20289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448">
        <f t="shared" ref="H5:Q5" si="1">SUM(H6:H9)</f>
        <v>227.83799999999999</v>
      </c>
      <c r="I5" s="448">
        <f t="shared" si="1"/>
        <v>280.05399999999997</v>
      </c>
      <c r="J5" s="448">
        <f t="shared" si="1"/>
        <v>307.20999999999998</v>
      </c>
      <c r="K5" s="448">
        <f t="shared" si="1"/>
        <v>613.54000000000008</v>
      </c>
      <c r="L5" s="448">
        <f t="shared" si="1"/>
        <v>406.77099999999996</v>
      </c>
      <c r="M5" s="448">
        <f t="shared" si="1"/>
        <v>679</v>
      </c>
      <c r="N5" s="448">
        <f t="shared" si="1"/>
        <v>450</v>
      </c>
      <c r="O5" s="448">
        <f t="shared" si="1"/>
        <v>365</v>
      </c>
      <c r="P5" s="448">
        <f t="shared" si="1"/>
        <v>370</v>
      </c>
      <c r="Q5" s="448">
        <f t="shared" si="1"/>
        <v>370</v>
      </c>
      <c r="R5" s="448">
        <f>SUM(R6:R9)</f>
        <v>370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449">
        <v>21.997</v>
      </c>
      <c r="I6" s="449">
        <v>64.602999999999994</v>
      </c>
      <c r="J6" s="449">
        <v>87.647000000000006</v>
      </c>
      <c r="K6" s="449">
        <v>374.863</v>
      </c>
      <c r="L6" s="449">
        <v>132.35599999999999</v>
      </c>
      <c r="M6" s="449">
        <v>246</v>
      </c>
      <c r="N6" s="449">
        <v>150</v>
      </c>
      <c r="O6" s="449">
        <v>150</v>
      </c>
      <c r="P6" s="449">
        <v>150</v>
      </c>
      <c r="Q6" s="449">
        <v>150</v>
      </c>
      <c r="R6" s="449">
        <v>150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449">
        <v>203.441</v>
      </c>
      <c r="I7" s="449">
        <v>212.33799999999999</v>
      </c>
      <c r="J7" s="449">
        <v>216.065</v>
      </c>
      <c r="K7" s="449">
        <v>233.60599999999999</v>
      </c>
      <c r="L7" s="449">
        <v>271.79199999999997</v>
      </c>
      <c r="M7" s="449">
        <v>431</v>
      </c>
      <c r="N7" s="449">
        <v>300</v>
      </c>
      <c r="O7" s="449">
        <v>215</v>
      </c>
      <c r="P7" s="449">
        <v>220</v>
      </c>
      <c r="Q7" s="449">
        <v>220</v>
      </c>
      <c r="R7" s="449">
        <v>220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449">
        <v>0</v>
      </c>
      <c r="I8" s="449">
        <v>0</v>
      </c>
      <c r="J8" s="449">
        <v>0</v>
      </c>
      <c r="K8" s="449">
        <v>0</v>
      </c>
      <c r="L8" s="449">
        <v>0</v>
      </c>
      <c r="M8" s="449">
        <v>0</v>
      </c>
      <c r="N8" s="449">
        <v>0</v>
      </c>
      <c r="O8" s="449">
        <v>0</v>
      </c>
      <c r="P8" s="449">
        <v>0</v>
      </c>
      <c r="Q8" s="449">
        <v>0</v>
      </c>
      <c r="R8" s="449">
        <v>0</v>
      </c>
    </row>
    <row r="9" spans="1:18" x14ac:dyDescent="0.2">
      <c r="B9" s="2" t="s">
        <v>22</v>
      </c>
      <c r="C9" s="19">
        <v>108</v>
      </c>
      <c r="E9" s="22"/>
      <c r="G9" s="18" t="s">
        <v>23</v>
      </c>
      <c r="H9" s="449">
        <v>2.4</v>
      </c>
      <c r="I9" s="449">
        <v>3.113</v>
      </c>
      <c r="J9" s="449">
        <v>3.4980000000000002</v>
      </c>
      <c r="K9" s="449">
        <v>5.0709999999999997</v>
      </c>
      <c r="L9" s="449">
        <v>2.6230000000000002</v>
      </c>
      <c r="M9" s="449">
        <v>2</v>
      </c>
      <c r="N9" s="449">
        <v>0</v>
      </c>
      <c r="O9" s="449">
        <v>0</v>
      </c>
      <c r="P9" s="449">
        <v>0</v>
      </c>
      <c r="Q9" s="449">
        <v>0</v>
      </c>
      <c r="R9" s="449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448">
        <f>SUM(H11:H16)</f>
        <v>22020.691999999999</v>
      </c>
      <c r="I10" s="448">
        <f t="shared" ref="I10:R10" si="2">SUM(I11:I16)</f>
        <v>21654.357</v>
      </c>
      <c r="J10" s="448">
        <f t="shared" si="2"/>
        <v>21340.172000000002</v>
      </c>
      <c r="K10" s="448">
        <f t="shared" si="2"/>
        <v>20966.971000000001</v>
      </c>
      <c r="L10" s="448">
        <f t="shared" si="2"/>
        <v>20642.482</v>
      </c>
      <c r="M10" s="448">
        <f t="shared" si="2"/>
        <v>20366</v>
      </c>
      <c r="N10" s="448">
        <f t="shared" si="2"/>
        <v>20074</v>
      </c>
      <c r="O10" s="448">
        <f t="shared" si="2"/>
        <v>20015</v>
      </c>
      <c r="P10" s="448">
        <f t="shared" si="2"/>
        <v>20206</v>
      </c>
      <c r="Q10" s="448">
        <f t="shared" si="2"/>
        <v>19928</v>
      </c>
      <c r="R10" s="448">
        <f t="shared" si="2"/>
        <v>19919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449">
        <v>0</v>
      </c>
      <c r="I11" s="449">
        <v>0</v>
      </c>
      <c r="J11" s="449">
        <v>0</v>
      </c>
      <c r="K11" s="449">
        <v>0</v>
      </c>
      <c r="L11" s="449">
        <v>0</v>
      </c>
      <c r="M11" s="449">
        <v>0</v>
      </c>
      <c r="N11" s="449">
        <v>0</v>
      </c>
      <c r="O11" s="449">
        <v>0</v>
      </c>
      <c r="P11" s="449">
        <v>0</v>
      </c>
      <c r="Q11" s="449">
        <v>0</v>
      </c>
      <c r="R11" s="449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449">
        <v>0</v>
      </c>
      <c r="I12" s="449">
        <v>0</v>
      </c>
      <c r="J12" s="449">
        <v>0</v>
      </c>
      <c r="K12" s="449">
        <v>0</v>
      </c>
      <c r="L12" s="449">
        <v>0</v>
      </c>
      <c r="M12" s="449">
        <v>0</v>
      </c>
      <c r="N12" s="449">
        <v>0</v>
      </c>
      <c r="O12" s="449">
        <v>0</v>
      </c>
      <c r="P12" s="449">
        <v>0</v>
      </c>
      <c r="Q12" s="449">
        <v>0</v>
      </c>
      <c r="R12" s="449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449">
        <v>0</v>
      </c>
      <c r="I13" s="449">
        <v>0</v>
      </c>
      <c r="J13" s="449">
        <v>0</v>
      </c>
      <c r="K13" s="449">
        <v>0</v>
      </c>
      <c r="L13" s="449">
        <v>0</v>
      </c>
      <c r="M13" s="449">
        <v>0</v>
      </c>
      <c r="N13" s="449">
        <v>0</v>
      </c>
      <c r="O13" s="449">
        <v>0</v>
      </c>
      <c r="P13" s="449">
        <v>0</v>
      </c>
      <c r="Q13" s="449">
        <v>0</v>
      </c>
      <c r="R13" s="449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449">
        <v>552.976</v>
      </c>
      <c r="I14" s="449">
        <v>541.36500000000001</v>
      </c>
      <c r="J14" s="449">
        <v>529.75400000000002</v>
      </c>
      <c r="K14" s="449">
        <v>0</v>
      </c>
      <c r="L14" s="449">
        <v>0</v>
      </c>
      <c r="M14" s="449">
        <v>0</v>
      </c>
      <c r="N14" s="449">
        <v>0</v>
      </c>
      <c r="O14" s="449">
        <v>0</v>
      </c>
      <c r="P14" s="449">
        <v>0</v>
      </c>
      <c r="Q14" s="449">
        <v>0</v>
      </c>
      <c r="R14" s="449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449">
        <f>21467.716</f>
        <v>21467.716</v>
      </c>
      <c r="I15" s="449">
        <v>21112.991999999998</v>
      </c>
      <c r="J15" s="449">
        <v>20810.418000000001</v>
      </c>
      <c r="K15" s="449">
        <v>20966.971000000001</v>
      </c>
      <c r="L15" s="449">
        <v>20642.482</v>
      </c>
      <c r="M15" s="449">
        <v>20366</v>
      </c>
      <c r="N15" s="449">
        <f>M15-N58+N45</f>
        <v>20074</v>
      </c>
      <c r="O15" s="449">
        <f>N15-O58+O45</f>
        <v>20015</v>
      </c>
      <c r="P15" s="449">
        <f>O15-P58+P45</f>
        <v>20206</v>
      </c>
      <c r="Q15" s="449">
        <f>P15-Q58+Q45-69-150-250</f>
        <v>19928</v>
      </c>
      <c r="R15" s="449">
        <f>Q15-R58+R45-200</f>
        <v>19919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449">
        <v>0</v>
      </c>
      <c r="I16" s="449">
        <v>0</v>
      </c>
      <c r="J16" s="449">
        <v>0</v>
      </c>
      <c r="K16" s="449">
        <v>0</v>
      </c>
      <c r="L16" s="449">
        <v>0</v>
      </c>
      <c r="M16" s="449">
        <v>0</v>
      </c>
      <c r="N16" s="449">
        <v>0</v>
      </c>
      <c r="O16" s="449">
        <v>0</v>
      </c>
      <c r="P16" s="449">
        <v>0</v>
      </c>
      <c r="Q16" s="449">
        <v>0</v>
      </c>
      <c r="R16" s="449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450">
        <v>0</v>
      </c>
      <c r="I17" s="450">
        <v>0</v>
      </c>
      <c r="J17" s="450">
        <v>0</v>
      </c>
      <c r="K17" s="450">
        <v>0</v>
      </c>
      <c r="L17" s="450">
        <v>0</v>
      </c>
      <c r="M17" s="450">
        <v>0</v>
      </c>
      <c r="N17" s="450">
        <v>0</v>
      </c>
      <c r="O17" s="450">
        <v>0</v>
      </c>
      <c r="P17" s="450">
        <v>0</v>
      </c>
      <c r="Q17" s="450">
        <v>0</v>
      </c>
      <c r="R17" s="450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448">
        <f>H19+H27</f>
        <v>22248.529000000002</v>
      </c>
      <c r="I18" s="448">
        <f t="shared" ref="I18:R18" si="3">I19+I27</f>
        <v>21934.411</v>
      </c>
      <c r="J18" s="448">
        <f t="shared" si="3"/>
        <v>21647.381000000001</v>
      </c>
      <c r="K18" s="448">
        <f t="shared" si="3"/>
        <v>21580.508999999998</v>
      </c>
      <c r="L18" s="448">
        <f t="shared" si="3"/>
        <v>21049.252</v>
      </c>
      <c r="M18" s="448">
        <f t="shared" si="3"/>
        <v>21045</v>
      </c>
      <c r="N18" s="448">
        <f t="shared" si="3"/>
        <v>20524</v>
      </c>
      <c r="O18" s="448">
        <f t="shared" si="3"/>
        <v>20379.78</v>
      </c>
      <c r="P18" s="448">
        <f t="shared" si="3"/>
        <v>20576.479950000001</v>
      </c>
      <c r="Q18" s="448">
        <f t="shared" si="3"/>
        <v>20297.913704000002</v>
      </c>
      <c r="R18" s="448">
        <f t="shared" si="3"/>
        <v>20288.547882825005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448">
        <f>SUM(H21:H26)</f>
        <v>13131.633000000002</v>
      </c>
      <c r="I19" s="448">
        <f t="shared" ref="I19:R19" si="4">SUM(I21:I26)</f>
        <v>11512.879000000001</v>
      </c>
      <c r="J19" s="448">
        <f t="shared" si="4"/>
        <v>9914.094000000001</v>
      </c>
      <c r="K19" s="448">
        <f t="shared" si="4"/>
        <v>9697.2379999999994</v>
      </c>
      <c r="L19" s="448">
        <f t="shared" si="4"/>
        <v>2969.6860000000001</v>
      </c>
      <c r="M19" s="448">
        <f t="shared" si="4"/>
        <v>2978</v>
      </c>
      <c r="N19" s="448">
        <f t="shared" si="4"/>
        <v>2334</v>
      </c>
      <c r="O19" s="448">
        <f t="shared" si="4"/>
        <v>2148</v>
      </c>
      <c r="P19" s="448">
        <f t="shared" si="4"/>
        <v>2454</v>
      </c>
      <c r="Q19" s="448">
        <f t="shared" si="4"/>
        <v>2250</v>
      </c>
      <c r="R19" s="448">
        <f t="shared" si="4"/>
        <v>2178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451">
        <v>2546.424</v>
      </c>
      <c r="I20" s="451">
        <v>2172.317</v>
      </c>
      <c r="J20" s="451">
        <v>1384.2280000000001</v>
      </c>
      <c r="K20" s="451">
        <v>1961.519</v>
      </c>
      <c r="L20" s="451">
        <v>1420.402</v>
      </c>
      <c r="M20" s="451">
        <v>1803</v>
      </c>
      <c r="N20" s="451">
        <v>1800</v>
      </c>
      <c r="O20" s="451">
        <v>1800</v>
      </c>
      <c r="P20" s="451">
        <v>2250</v>
      </c>
      <c r="Q20" s="451">
        <v>2250</v>
      </c>
      <c r="R20" s="451">
        <v>2250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449">
        <f>392.027+303.893+260.287</f>
        <v>956.20699999999988</v>
      </c>
      <c r="I21" s="449">
        <f>288.198+266.275+373.197</f>
        <v>927.67</v>
      </c>
      <c r="J21" s="449">
        <f>327.926+309.368+354.514</f>
        <v>991.80799999999999</v>
      </c>
      <c r="K21" s="449">
        <f>159.759+298.261+709.352</f>
        <v>1167.3719999999998</v>
      </c>
      <c r="L21" s="449">
        <f>139.552+312.649+593.982</f>
        <v>1046.183</v>
      </c>
      <c r="M21" s="449">
        <v>1429</v>
      </c>
      <c r="N21" s="449">
        <v>1159</v>
      </c>
      <c r="O21" s="449">
        <v>1347</v>
      </c>
      <c r="P21" s="449">
        <v>1997</v>
      </c>
      <c r="Q21" s="449">
        <v>2250</v>
      </c>
      <c r="R21" s="449">
        <v>2178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449">
        <v>0</v>
      </c>
      <c r="I22" s="449">
        <v>0</v>
      </c>
      <c r="J22" s="449">
        <v>0</v>
      </c>
      <c r="K22" s="449">
        <v>0</v>
      </c>
      <c r="L22" s="449">
        <v>0</v>
      </c>
      <c r="M22" s="449">
        <v>0</v>
      </c>
      <c r="N22" s="449">
        <v>0</v>
      </c>
      <c r="O22" s="449">
        <v>0</v>
      </c>
      <c r="P22" s="449">
        <v>0</v>
      </c>
      <c r="Q22" s="449">
        <v>0</v>
      </c>
      <c r="R22" s="449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449">
        <v>0</v>
      </c>
      <c r="I23" s="449">
        <v>0</v>
      </c>
      <c r="J23" s="449">
        <v>0</v>
      </c>
      <c r="K23" s="449">
        <v>0</v>
      </c>
      <c r="L23" s="449">
        <v>0</v>
      </c>
      <c r="M23" s="449">
        <v>0</v>
      </c>
      <c r="N23" s="449">
        <v>0</v>
      </c>
      <c r="O23" s="449">
        <v>0</v>
      </c>
      <c r="P23" s="449">
        <v>0</v>
      </c>
      <c r="Q23" s="449">
        <v>0</v>
      </c>
      <c r="R23" s="449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449">
        <f>1590.217+10585.209</f>
        <v>12175.426000000001</v>
      </c>
      <c r="I24" s="449">
        <f>1244.646+9340.563</f>
        <v>10585.209000000001</v>
      </c>
      <c r="J24" s="449">
        <f>392.42+8529.866</f>
        <v>8922.2860000000001</v>
      </c>
      <c r="K24" s="449">
        <f>794.146+7735.72</f>
        <v>8529.866</v>
      </c>
      <c r="L24" s="449">
        <f>374.219+1549.284</f>
        <v>1923.5030000000002</v>
      </c>
      <c r="M24" s="449">
        <v>1549</v>
      </c>
      <c r="N24" s="449">
        <f>M24-374</f>
        <v>1175</v>
      </c>
      <c r="O24" s="449">
        <f>N24-374</f>
        <v>801</v>
      </c>
      <c r="P24" s="449">
        <v>457</v>
      </c>
      <c r="Q24" s="449">
        <v>0</v>
      </c>
      <c r="R24" s="449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449">
        <v>0</v>
      </c>
      <c r="I25" s="449">
        <v>0</v>
      </c>
      <c r="J25" s="449">
        <v>0</v>
      </c>
      <c r="K25" s="449">
        <v>0</v>
      </c>
      <c r="L25" s="449">
        <v>0</v>
      </c>
      <c r="M25" s="449">
        <v>0</v>
      </c>
      <c r="N25" s="449">
        <v>0</v>
      </c>
      <c r="O25" s="449">
        <v>0</v>
      </c>
      <c r="P25" s="449">
        <v>0</v>
      </c>
      <c r="Q25" s="449">
        <v>0</v>
      </c>
      <c r="R25" s="449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449">
        <v>0</v>
      </c>
      <c r="I26" s="449">
        <v>0</v>
      </c>
      <c r="J26" s="449">
        <v>0</v>
      </c>
      <c r="K26" s="449">
        <v>0</v>
      </c>
      <c r="L26" s="449">
        <v>0</v>
      </c>
      <c r="M26" s="449">
        <v>0</v>
      </c>
      <c r="N26" s="449">
        <v>0</v>
      </c>
      <c r="O26" s="449">
        <v>0</v>
      </c>
      <c r="P26" s="449">
        <v>0</v>
      </c>
      <c r="Q26" s="449">
        <v>0</v>
      </c>
      <c r="R26" s="449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448">
        <f>SUM(H28:H30)</f>
        <v>9116.8960000000006</v>
      </c>
      <c r="I27" s="448">
        <f t="shared" ref="I27:R27" si="5">SUM(I28:I30)</f>
        <v>10421.531999999999</v>
      </c>
      <c r="J27" s="448">
        <f t="shared" si="5"/>
        <v>11733.287</v>
      </c>
      <c r="K27" s="448">
        <f t="shared" si="5"/>
        <v>11883.271000000001</v>
      </c>
      <c r="L27" s="448">
        <f t="shared" si="5"/>
        <v>18079.565999999999</v>
      </c>
      <c r="M27" s="448">
        <f t="shared" si="5"/>
        <v>18067</v>
      </c>
      <c r="N27" s="448">
        <f t="shared" si="5"/>
        <v>18190</v>
      </c>
      <c r="O27" s="448">
        <f t="shared" si="5"/>
        <v>18231.78</v>
      </c>
      <c r="P27" s="448">
        <f t="shared" si="5"/>
        <v>18122.479950000001</v>
      </c>
      <c r="Q27" s="448">
        <f t="shared" si="5"/>
        <v>18047.913704000002</v>
      </c>
      <c r="R27" s="448">
        <f t="shared" si="5"/>
        <v>18110.547882825005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449">
        <v>9116.8960000000006</v>
      </c>
      <c r="I28" s="449">
        <v>10421.531999999999</v>
      </c>
      <c r="J28" s="449">
        <v>11733.287</v>
      </c>
      <c r="K28" s="449">
        <v>11883.271000000001</v>
      </c>
      <c r="L28" s="449">
        <v>12104.79</v>
      </c>
      <c r="M28" s="449">
        <v>12105</v>
      </c>
      <c r="N28" s="449">
        <v>12105</v>
      </c>
      <c r="O28" s="449">
        <v>12105</v>
      </c>
      <c r="P28" s="449">
        <v>12105</v>
      </c>
      <c r="Q28" s="449">
        <v>12105</v>
      </c>
      <c r="R28" s="449">
        <v>12105</v>
      </c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449">
        <v>3975.1010000000001</v>
      </c>
      <c r="I29" s="449">
        <v>4004.7150000000001</v>
      </c>
      <c r="J29" s="449">
        <v>4267.9530000000004</v>
      </c>
      <c r="K29" s="449">
        <v>221.51900000000001</v>
      </c>
      <c r="L29" s="449">
        <v>-221.51900000000001</v>
      </c>
      <c r="M29" s="449">
        <v>5975</v>
      </c>
      <c r="N29" s="449">
        <f>M29+M30</f>
        <v>5962</v>
      </c>
      <c r="O29" s="449">
        <f>N29+N30</f>
        <v>6085</v>
      </c>
      <c r="P29" s="449">
        <f>O29+O30</f>
        <v>6126.7800000000007</v>
      </c>
      <c r="Q29" s="449">
        <f>P29+P30</f>
        <v>6017.4799500000008</v>
      </c>
      <c r="R29" s="449">
        <f>Q29+Q30</f>
        <v>5942.9137040000023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449">
        <v>-3975.1010000000001</v>
      </c>
      <c r="I30" s="449">
        <v>-4004.7150000000001</v>
      </c>
      <c r="J30" s="449">
        <v>-4267.9530000000004</v>
      </c>
      <c r="K30" s="449">
        <v>-221.51900000000001</v>
      </c>
      <c r="L30" s="449">
        <v>6196.2950000000001</v>
      </c>
      <c r="M30" s="449">
        <v>-13</v>
      </c>
      <c r="N30" s="449">
        <f>N51</f>
        <v>123</v>
      </c>
      <c r="O30" s="449">
        <f>O51</f>
        <v>41.780000000000655</v>
      </c>
      <c r="P30" s="449">
        <f>P51</f>
        <v>-109.30004999999983</v>
      </c>
      <c r="Q30" s="449">
        <f>Q51</f>
        <v>-74.5662459999985</v>
      </c>
      <c r="R30" s="449">
        <f>R51</f>
        <v>62.634178825001072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452">
        <f t="shared" ref="H31:R31" si="6">H4-H18</f>
        <v>9.9999999656574801E-4</v>
      </c>
      <c r="I31" s="452">
        <f t="shared" si="6"/>
        <v>0</v>
      </c>
      <c r="J31" s="452">
        <f t="shared" si="6"/>
        <v>1.0000000002037268E-3</v>
      </c>
      <c r="K31" s="452">
        <f t="shared" si="6"/>
        <v>2.0000000040454324E-3</v>
      </c>
      <c r="L31" s="452">
        <f t="shared" si="6"/>
        <v>1.0000000002037268E-3</v>
      </c>
      <c r="M31" s="452">
        <f t="shared" si="6"/>
        <v>0</v>
      </c>
      <c r="N31" s="452">
        <f t="shared" si="6"/>
        <v>0</v>
      </c>
      <c r="O31" s="452">
        <f t="shared" si="6"/>
        <v>0.22000000000116415</v>
      </c>
      <c r="P31" s="452">
        <f t="shared" si="6"/>
        <v>-0.47995000000082655</v>
      </c>
      <c r="Q31" s="452">
        <f t="shared" si="6"/>
        <v>8.6295999997673789E-2</v>
      </c>
      <c r="R31" s="452">
        <f t="shared" si="6"/>
        <v>0.45211717499478254</v>
      </c>
      <c r="S31" s="4"/>
    </row>
    <row r="32" spans="1:19" x14ac:dyDescent="0.2">
      <c r="G32" s="445" t="s">
        <v>78</v>
      </c>
      <c r="H32" s="453">
        <v>2011</v>
      </c>
      <c r="I32" s="453">
        <f t="shared" ref="I32:R32" si="7">H32+1</f>
        <v>2012</v>
      </c>
      <c r="J32" s="453">
        <f t="shared" si="7"/>
        <v>2013</v>
      </c>
      <c r="K32" s="453">
        <f t="shared" si="7"/>
        <v>2014</v>
      </c>
      <c r="L32" s="453">
        <f t="shared" si="7"/>
        <v>2015</v>
      </c>
      <c r="M32" s="453">
        <f t="shared" si="7"/>
        <v>2016</v>
      </c>
      <c r="N32" s="453">
        <f t="shared" si="7"/>
        <v>2017</v>
      </c>
      <c r="O32" s="453">
        <f t="shared" si="7"/>
        <v>2018</v>
      </c>
      <c r="P32" s="453">
        <f t="shared" si="7"/>
        <v>2019</v>
      </c>
      <c r="Q32" s="453">
        <f t="shared" si="7"/>
        <v>2020</v>
      </c>
      <c r="R32" s="453">
        <f t="shared" si="7"/>
        <v>2021</v>
      </c>
    </row>
    <row r="33" spans="1:18" x14ac:dyDescent="0.2">
      <c r="B33" s="2" t="s">
        <v>79</v>
      </c>
      <c r="C33" s="19">
        <v>3</v>
      </c>
      <c r="G33" s="447" t="s">
        <v>80</v>
      </c>
      <c r="H33" s="448">
        <f>SUM(H34:H37)</f>
        <v>3125.7109999999998</v>
      </c>
      <c r="I33" s="448">
        <f t="shared" ref="I33:R33" si="8">SUM(I34:I37)</f>
        <v>3235.9249999999997</v>
      </c>
      <c r="J33" s="448">
        <f t="shared" si="8"/>
        <v>3166.3850000000002</v>
      </c>
      <c r="K33" s="448">
        <f t="shared" si="8"/>
        <v>7729.8620000000001</v>
      </c>
      <c r="L33" s="448">
        <f t="shared" si="8"/>
        <v>16447.542000000001</v>
      </c>
      <c r="M33" s="448">
        <f t="shared" si="8"/>
        <v>8383</v>
      </c>
      <c r="N33" s="448">
        <f t="shared" si="8"/>
        <v>8587</v>
      </c>
      <c r="O33" s="448">
        <f t="shared" si="8"/>
        <v>9280.15</v>
      </c>
      <c r="P33" s="448">
        <f t="shared" si="8"/>
        <v>9230.1954999999998</v>
      </c>
      <c r="Q33" s="448">
        <f t="shared" si="8"/>
        <v>10041.119215000001</v>
      </c>
      <c r="R33" s="448">
        <f t="shared" si="8"/>
        <v>9394.5367763499999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449">
        <v>0</v>
      </c>
      <c r="I34" s="449">
        <v>0</v>
      </c>
      <c r="J34" s="449">
        <v>0</v>
      </c>
      <c r="K34" s="449">
        <v>0</v>
      </c>
      <c r="L34" s="449">
        <v>0</v>
      </c>
      <c r="M34" s="449">
        <v>0</v>
      </c>
      <c r="N34" s="449">
        <v>0</v>
      </c>
      <c r="O34" s="449">
        <v>0</v>
      </c>
      <c r="P34" s="449">
        <v>0</v>
      </c>
      <c r="Q34" s="449">
        <v>0</v>
      </c>
      <c r="R34" s="449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449">
        <v>2238.4589999999998</v>
      </c>
      <c r="I35" s="449">
        <v>2423.2939999999999</v>
      </c>
      <c r="J35" s="449">
        <v>2596.212</v>
      </c>
      <c r="K35" s="449">
        <v>2679.3919999999998</v>
      </c>
      <c r="L35" s="449">
        <v>3541.386</v>
      </c>
      <c r="M35" s="449">
        <v>3381</v>
      </c>
      <c r="N35" s="449">
        <f>1940+1075+285</f>
        <v>3300</v>
      </c>
      <c r="O35" s="449">
        <f>1940*1.01+1075*1.01+285+500</f>
        <v>3830.15</v>
      </c>
      <c r="P35" s="449">
        <f>(1940*1.01)*1.02+(1075*1.01)*1.01+285+500</f>
        <v>3880.1955000000003</v>
      </c>
      <c r="Q35" s="449">
        <f>(1940*1.01*1.02)*1.03+(1075*1.01*1.01*1.01)+285+500</f>
        <v>3951.1192150000006</v>
      </c>
      <c r="R35" s="449">
        <f>(1940*1.01*1.02*1.03)*1.04+(1075*1.01*1.01*1.01*1.01)+285+500</f>
        <v>4044.5367763500003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449">
        <v>887.24300000000005</v>
      </c>
      <c r="I36" s="449">
        <v>811.56</v>
      </c>
      <c r="J36" s="449">
        <v>570.173</v>
      </c>
      <c r="K36" s="449">
        <v>5050.47</v>
      </c>
      <c r="L36" s="449">
        <v>12902.611999999999</v>
      </c>
      <c r="M36" s="449">
        <v>5002</v>
      </c>
      <c r="N36" s="449">
        <f>5572-285</f>
        <v>5287</v>
      </c>
      <c r="O36" s="449">
        <f>5450</f>
        <v>5450</v>
      </c>
      <c r="P36" s="449">
        <f>5150+200</f>
        <v>5350</v>
      </c>
      <c r="Q36" s="449">
        <f>5150+200+740</f>
        <v>6090</v>
      </c>
      <c r="R36" s="449">
        <f>5150+200</f>
        <v>5350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449">
        <v>8.9999999999999993E-3</v>
      </c>
      <c r="I37" s="449">
        <v>1.071</v>
      </c>
      <c r="J37" s="449">
        <v>0</v>
      </c>
      <c r="K37" s="449">
        <v>0</v>
      </c>
      <c r="L37" s="449">
        <v>3.544</v>
      </c>
      <c r="M37" s="449">
        <v>0</v>
      </c>
      <c r="N37" s="449">
        <v>0</v>
      </c>
      <c r="O37" s="449">
        <v>0</v>
      </c>
      <c r="P37" s="449">
        <v>0</v>
      </c>
      <c r="Q37" s="449">
        <v>0</v>
      </c>
      <c r="R37" s="449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448">
        <f>H39+H40</f>
        <v>-0.128</v>
      </c>
      <c r="I38" s="448">
        <f t="shared" ref="I38:R38" si="9">I39+I40</f>
        <v>-0.128</v>
      </c>
      <c r="J38" s="448">
        <f t="shared" si="9"/>
        <v>-0.128</v>
      </c>
      <c r="K38" s="448">
        <f t="shared" si="9"/>
        <v>0</v>
      </c>
      <c r="L38" s="448">
        <f t="shared" si="9"/>
        <v>0</v>
      </c>
      <c r="M38" s="448">
        <f t="shared" si="9"/>
        <v>0</v>
      </c>
      <c r="N38" s="448">
        <f t="shared" si="9"/>
        <v>0</v>
      </c>
      <c r="O38" s="448">
        <f t="shared" si="9"/>
        <v>0</v>
      </c>
      <c r="P38" s="448">
        <f t="shared" si="9"/>
        <v>0</v>
      </c>
      <c r="Q38" s="448">
        <f t="shared" si="9"/>
        <v>0</v>
      </c>
      <c r="R38" s="448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449">
        <v>0</v>
      </c>
      <c r="I39" s="449">
        <v>0</v>
      </c>
      <c r="J39" s="449">
        <v>0</v>
      </c>
      <c r="K39" s="449">
        <v>0</v>
      </c>
      <c r="L39" s="449">
        <v>0</v>
      </c>
      <c r="M39" s="449">
        <v>0</v>
      </c>
      <c r="N39" s="449">
        <v>0</v>
      </c>
      <c r="O39" s="449">
        <v>0</v>
      </c>
      <c r="P39" s="449">
        <v>0</v>
      </c>
      <c r="Q39" s="449">
        <v>0</v>
      </c>
      <c r="R39" s="449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449">
        <v>-0.128</v>
      </c>
      <c r="I40" s="449">
        <v>-0.128</v>
      </c>
      <c r="J40" s="449">
        <v>-0.128</v>
      </c>
      <c r="K40" s="449">
        <v>0</v>
      </c>
      <c r="L40" s="449">
        <v>0</v>
      </c>
      <c r="M40" s="449">
        <v>0</v>
      </c>
      <c r="N40" s="449">
        <v>0</v>
      </c>
      <c r="O40" s="449">
        <v>0</v>
      </c>
      <c r="P40" s="449">
        <v>0</v>
      </c>
      <c r="Q40" s="449">
        <v>0</v>
      </c>
      <c r="R40" s="449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448">
        <f>SUM(H42:H45)</f>
        <v>-6542.7060000000001</v>
      </c>
      <c r="I41" s="448">
        <f t="shared" ref="I41:R41" si="10">SUM(I42:I45)</f>
        <v>-6646.9440000000004</v>
      </c>
      <c r="J41" s="448">
        <f t="shared" si="10"/>
        <v>-6886.5399999999991</v>
      </c>
      <c r="K41" s="448">
        <f t="shared" si="10"/>
        <v>-7409.9319999999998</v>
      </c>
      <c r="L41" s="448">
        <f t="shared" si="10"/>
        <v>-9158.6330000000016</v>
      </c>
      <c r="M41" s="448">
        <f t="shared" si="10"/>
        <v>-8133</v>
      </c>
      <c r="N41" s="448">
        <f t="shared" si="10"/>
        <v>-8199</v>
      </c>
      <c r="O41" s="448">
        <f t="shared" si="10"/>
        <v>-8973.369999999999</v>
      </c>
      <c r="P41" s="448">
        <f t="shared" si="10"/>
        <v>-9074.4955499999996</v>
      </c>
      <c r="Q41" s="448">
        <f t="shared" si="10"/>
        <v>-9193.6854609999991</v>
      </c>
      <c r="R41" s="448">
        <f t="shared" si="10"/>
        <v>-9331.9025975249988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449">
        <v>-2784.8220000000001</v>
      </c>
      <c r="I42" s="449">
        <v>-2731.15</v>
      </c>
      <c r="J42" s="449">
        <v>-2803.8159999999998</v>
      </c>
      <c r="K42" s="449">
        <v>-2851.413</v>
      </c>
      <c r="L42" s="449">
        <v>-3420.8159999999998</v>
      </c>
      <c r="M42" s="449">
        <v>-3380</v>
      </c>
      <c r="N42" s="449">
        <v>-3358</v>
      </c>
      <c r="O42" s="449">
        <f>N42*1.015</f>
        <v>-3408.37</v>
      </c>
      <c r="P42" s="449">
        <f>O42*1.015</f>
        <v>-3459.4955499999996</v>
      </c>
      <c r="Q42" s="449">
        <f>P42*1.02</f>
        <v>-3528.6854609999996</v>
      </c>
      <c r="R42" s="449">
        <f>Q42*1.025</f>
        <v>-3616.9025975249992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449">
        <v>-3247.9659999999999</v>
      </c>
      <c r="I43" s="449">
        <v>-3395.9940000000001</v>
      </c>
      <c r="J43" s="449">
        <v>-3522.4929999999999</v>
      </c>
      <c r="K43" s="449">
        <v>-4044.36</v>
      </c>
      <c r="L43" s="449">
        <v>-5167.0110000000004</v>
      </c>
      <c r="M43" s="449">
        <v>-4157</v>
      </c>
      <c r="N43" s="449">
        <f>-4293</f>
        <v>-4293</v>
      </c>
      <c r="O43" s="449">
        <v>-5000</v>
      </c>
      <c r="P43" s="449">
        <v>-5050</v>
      </c>
      <c r="Q43" s="449">
        <v>-5100</v>
      </c>
      <c r="R43" s="449">
        <v>-5150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449">
        <v>-3.875</v>
      </c>
      <c r="I44" s="449">
        <v>-2.6619999999999999</v>
      </c>
      <c r="J44" s="449">
        <v>-7.8920000000000003</v>
      </c>
      <c r="K44" s="449">
        <v>-2.423</v>
      </c>
      <c r="L44" s="449">
        <v>-3.8860000000000001</v>
      </c>
      <c r="M44" s="449">
        <v>0</v>
      </c>
      <c r="N44" s="449">
        <v>0</v>
      </c>
      <c r="O44" s="449">
        <v>0</v>
      </c>
      <c r="P44" s="449">
        <v>0</v>
      </c>
      <c r="Q44" s="449">
        <v>0</v>
      </c>
      <c r="R44" s="449">
        <v>0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449">
        <v>-506.04300000000001</v>
      </c>
      <c r="I45" s="449">
        <v>-517.13800000000003</v>
      </c>
      <c r="J45" s="449">
        <v>-552.33900000000006</v>
      </c>
      <c r="K45" s="449">
        <v>-511.73599999999999</v>
      </c>
      <c r="L45" s="449">
        <v>-566.91999999999996</v>
      </c>
      <c r="M45" s="449">
        <v>-596</v>
      </c>
      <c r="N45" s="449">
        <v>-548</v>
      </c>
      <c r="O45" s="449">
        <f>-565</f>
        <v>-565</v>
      </c>
      <c r="P45" s="449">
        <f>O45</f>
        <v>-565</v>
      </c>
      <c r="Q45" s="449">
        <f>P45</f>
        <v>-565</v>
      </c>
      <c r="R45" s="449">
        <f>Q45</f>
        <v>-565</v>
      </c>
    </row>
    <row r="46" spans="1:18" x14ac:dyDescent="0.2">
      <c r="B46" s="2" t="s">
        <v>107</v>
      </c>
      <c r="G46" s="18" t="s">
        <v>108</v>
      </c>
      <c r="H46" s="448">
        <f>H33+H38+H41</f>
        <v>-3417.1230000000005</v>
      </c>
      <c r="I46" s="448">
        <f t="shared" ref="I46:R46" si="11">I33+I38+I41</f>
        <v>-3411.1470000000008</v>
      </c>
      <c r="J46" s="448">
        <f t="shared" si="11"/>
        <v>-3720.282999999999</v>
      </c>
      <c r="K46" s="448">
        <f t="shared" si="11"/>
        <v>319.93000000000029</v>
      </c>
      <c r="L46" s="448">
        <f t="shared" si="11"/>
        <v>7288.9089999999997</v>
      </c>
      <c r="M46" s="448">
        <f t="shared" si="11"/>
        <v>250</v>
      </c>
      <c r="N46" s="448">
        <f t="shared" si="11"/>
        <v>388</v>
      </c>
      <c r="O46" s="448">
        <f t="shared" si="11"/>
        <v>306.78000000000065</v>
      </c>
      <c r="P46" s="448">
        <f t="shared" si="11"/>
        <v>155.69995000000017</v>
      </c>
      <c r="Q46" s="448">
        <f t="shared" si="11"/>
        <v>847.4337540000015</v>
      </c>
      <c r="R46" s="448">
        <f t="shared" si="11"/>
        <v>62.634178825001072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449">
        <v>-557.97799999999995</v>
      </c>
      <c r="I47" s="449">
        <v>-593.56799999999998</v>
      </c>
      <c r="J47" s="449">
        <v>-547.798</v>
      </c>
      <c r="K47" s="449">
        <v>-541.44899999999996</v>
      </c>
      <c r="L47" s="449">
        <v>-1092.615</v>
      </c>
      <c r="M47" s="449">
        <v>-263</v>
      </c>
      <c r="N47" s="449">
        <v>-265</v>
      </c>
      <c r="O47" s="449">
        <v>-265</v>
      </c>
      <c r="P47" s="449">
        <v>-265</v>
      </c>
      <c r="Q47" s="449">
        <v>-922</v>
      </c>
      <c r="R47" s="449">
        <v>0</v>
      </c>
    </row>
    <row r="48" spans="1:18" x14ac:dyDescent="0.2">
      <c r="B48" s="2" t="s">
        <v>111</v>
      </c>
      <c r="G48" s="18" t="s">
        <v>112</v>
      </c>
      <c r="H48" s="448">
        <f>H46+H47</f>
        <v>-3975.1010000000006</v>
      </c>
      <c r="I48" s="448">
        <f t="shared" ref="I48:R48" si="12">I46+I47</f>
        <v>-4004.7150000000011</v>
      </c>
      <c r="J48" s="448">
        <f t="shared" si="12"/>
        <v>-4268.0809999999992</v>
      </c>
      <c r="K48" s="448">
        <f t="shared" si="12"/>
        <v>-221.51899999999966</v>
      </c>
      <c r="L48" s="448">
        <f t="shared" si="12"/>
        <v>6196.2939999999999</v>
      </c>
      <c r="M48" s="448">
        <f t="shared" si="12"/>
        <v>-13</v>
      </c>
      <c r="N48" s="448">
        <f t="shared" si="12"/>
        <v>123</v>
      </c>
      <c r="O48" s="448">
        <f t="shared" si="12"/>
        <v>41.780000000000655</v>
      </c>
      <c r="P48" s="448">
        <f t="shared" si="12"/>
        <v>-109.30004999999983</v>
      </c>
      <c r="Q48" s="448">
        <f t="shared" si="12"/>
        <v>-74.5662459999985</v>
      </c>
      <c r="R48" s="448">
        <f t="shared" si="12"/>
        <v>62.634178825001072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449">
        <v>0</v>
      </c>
      <c r="I49" s="449">
        <v>0</v>
      </c>
      <c r="J49" s="449">
        <v>0</v>
      </c>
      <c r="K49" s="449">
        <v>0</v>
      </c>
      <c r="L49" s="449">
        <v>0</v>
      </c>
      <c r="M49" s="449">
        <v>0</v>
      </c>
      <c r="N49" s="449">
        <v>0</v>
      </c>
      <c r="O49" s="449">
        <v>0</v>
      </c>
      <c r="P49" s="449">
        <v>0</v>
      </c>
      <c r="Q49" s="449">
        <v>0</v>
      </c>
      <c r="R49" s="449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449">
        <v>0</v>
      </c>
      <c r="I50" s="449">
        <v>0</v>
      </c>
      <c r="J50" s="449">
        <v>0</v>
      </c>
      <c r="K50" s="449">
        <v>0</v>
      </c>
      <c r="L50" s="449">
        <v>0</v>
      </c>
      <c r="M50" s="449">
        <v>0</v>
      </c>
      <c r="N50" s="449">
        <v>0</v>
      </c>
      <c r="O50" s="449">
        <v>0</v>
      </c>
      <c r="P50" s="449">
        <v>0</v>
      </c>
      <c r="Q50" s="449">
        <v>0</v>
      </c>
      <c r="R50" s="449">
        <v>0</v>
      </c>
    </row>
    <row r="51" spans="1:18" x14ac:dyDescent="0.2">
      <c r="B51" s="2" t="s">
        <v>117</v>
      </c>
      <c r="G51" s="18" t="s">
        <v>118</v>
      </c>
      <c r="H51" s="448">
        <f>H48+H49+H50</f>
        <v>-3975.1010000000006</v>
      </c>
      <c r="I51" s="448">
        <f t="shared" ref="I51:R51" si="13">I48+I49+I50</f>
        <v>-4004.7150000000011</v>
      </c>
      <c r="J51" s="448">
        <f t="shared" si="13"/>
        <v>-4268.0809999999992</v>
      </c>
      <c r="K51" s="448">
        <f t="shared" si="13"/>
        <v>-221.51899999999966</v>
      </c>
      <c r="L51" s="448">
        <f t="shared" si="13"/>
        <v>6196.2939999999999</v>
      </c>
      <c r="M51" s="448">
        <f t="shared" si="13"/>
        <v>-13</v>
      </c>
      <c r="N51" s="448">
        <f t="shared" si="13"/>
        <v>123</v>
      </c>
      <c r="O51" s="448">
        <f t="shared" si="13"/>
        <v>41.780000000000655</v>
      </c>
      <c r="P51" s="448">
        <f t="shared" si="13"/>
        <v>-109.30004999999983</v>
      </c>
      <c r="Q51" s="448">
        <f t="shared" si="13"/>
        <v>-74.5662459999985</v>
      </c>
      <c r="R51" s="448">
        <f t="shared" si="13"/>
        <v>62.634178825001072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452">
        <f>H30-H51</f>
        <v>0</v>
      </c>
      <c r="I52" s="452">
        <f t="shared" ref="I52:R52" si="14">I30-I51</f>
        <v>0</v>
      </c>
      <c r="J52" s="452">
        <f t="shared" si="14"/>
        <v>0.12799999999879219</v>
      </c>
      <c r="K52" s="452">
        <f t="shared" si="14"/>
        <v>-3.4106051316484809E-13</v>
      </c>
      <c r="L52" s="452">
        <f t="shared" si="14"/>
        <v>1.0000000002037268E-3</v>
      </c>
      <c r="M52" s="452">
        <f t="shared" si="14"/>
        <v>0</v>
      </c>
      <c r="N52" s="452">
        <f t="shared" si="14"/>
        <v>0</v>
      </c>
      <c r="O52" s="452">
        <f t="shared" si="14"/>
        <v>0</v>
      </c>
      <c r="P52" s="452">
        <f t="shared" si="14"/>
        <v>0</v>
      </c>
      <c r="Q52" s="452">
        <f t="shared" si="14"/>
        <v>0</v>
      </c>
      <c r="R52" s="452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449">
        <v>186</v>
      </c>
      <c r="I54" s="449">
        <v>178</v>
      </c>
      <c r="J54" s="449">
        <v>176</v>
      </c>
      <c r="K54" s="449">
        <v>173</v>
      </c>
      <c r="L54" s="449">
        <v>173</v>
      </c>
      <c r="M54" s="449">
        <v>173</v>
      </c>
      <c r="N54" s="449">
        <v>168</v>
      </c>
      <c r="O54" s="449">
        <v>168</v>
      </c>
      <c r="P54" s="449">
        <v>166</v>
      </c>
      <c r="Q54" s="449">
        <v>165</v>
      </c>
      <c r="R54" s="449">
        <v>164</v>
      </c>
    </row>
    <row r="55" spans="1:18" ht="12" x14ac:dyDescent="0.2">
      <c r="E55" s="20" t="s">
        <v>14</v>
      </c>
      <c r="G55" s="46" t="s">
        <v>122</v>
      </c>
      <c r="H55" s="449"/>
      <c r="I55" s="449"/>
      <c r="J55" s="449"/>
      <c r="K55" s="449"/>
      <c r="L55" s="454"/>
      <c r="M55" s="454"/>
      <c r="N55" s="454"/>
      <c r="O55" s="454"/>
      <c r="P55" s="454"/>
      <c r="Q55" s="454"/>
      <c r="R55" s="454"/>
    </row>
    <row r="57" spans="1:18" x14ac:dyDescent="0.2">
      <c r="D57" s="49" t="s">
        <v>123</v>
      </c>
      <c r="E57" s="50" t="s">
        <v>3</v>
      </c>
      <c r="F57" s="17"/>
      <c r="G57" s="445" t="s">
        <v>124</v>
      </c>
      <c r="H57" s="453">
        <f>H32</f>
        <v>2011</v>
      </c>
      <c r="I57" s="453">
        <f t="shared" ref="I57:R57" si="15">I32</f>
        <v>2012</v>
      </c>
      <c r="J57" s="453">
        <f t="shared" si="15"/>
        <v>2013</v>
      </c>
      <c r="K57" s="453">
        <f t="shared" si="15"/>
        <v>2014</v>
      </c>
      <c r="L57" s="453">
        <f t="shared" si="15"/>
        <v>2015</v>
      </c>
      <c r="M57" s="453">
        <f t="shared" si="15"/>
        <v>2016</v>
      </c>
      <c r="N57" s="453">
        <f t="shared" si="15"/>
        <v>2017</v>
      </c>
      <c r="O57" s="453">
        <f t="shared" si="15"/>
        <v>2018</v>
      </c>
      <c r="P57" s="453">
        <f t="shared" si="15"/>
        <v>2019</v>
      </c>
      <c r="Q57" s="453">
        <f t="shared" si="15"/>
        <v>2020</v>
      </c>
      <c r="R57" s="453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447" t="s">
        <v>128</v>
      </c>
      <c r="H58" s="449">
        <v>-899.05499999999995</v>
      </c>
      <c r="I58" s="449">
        <v>-72.162999999999997</v>
      </c>
      <c r="J58" s="449">
        <v>-238.154</v>
      </c>
      <c r="K58" s="449">
        <v>-184.59100000000001</v>
      </c>
      <c r="L58" s="449">
        <v>-242.43100000000001</v>
      </c>
      <c r="M58" s="449">
        <v>-189</v>
      </c>
      <c r="N58" s="449">
        <v>-256</v>
      </c>
      <c r="O58" s="449">
        <f>-250-256</f>
        <v>-506</v>
      </c>
      <c r="P58" s="449">
        <f>-500-256</f>
        <v>-756</v>
      </c>
      <c r="Q58" s="449">
        <v>-756</v>
      </c>
      <c r="R58" s="449">
        <v>-756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449">
        <v>0</v>
      </c>
      <c r="I59" s="449">
        <v>0</v>
      </c>
      <c r="J59" s="449">
        <v>0.377</v>
      </c>
      <c r="K59" s="449">
        <v>0.377</v>
      </c>
      <c r="L59" s="449">
        <v>0.377</v>
      </c>
      <c r="M59" s="449">
        <v>0.377</v>
      </c>
      <c r="N59" s="449">
        <v>0.377</v>
      </c>
      <c r="O59" s="449">
        <v>0.377</v>
      </c>
      <c r="P59" s="449">
        <v>0.377</v>
      </c>
      <c r="Q59" s="449">
        <v>0.377</v>
      </c>
      <c r="R59" s="449">
        <v>0.377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449">
        <v>383.47</v>
      </c>
      <c r="I60" s="449">
        <v>319.55799999999999</v>
      </c>
      <c r="J60" s="449">
        <v>255.64699999999999</v>
      </c>
      <c r="K60" s="449">
        <v>407.63400000000001</v>
      </c>
      <c r="L60" s="449">
        <v>6341.0630000000001</v>
      </c>
      <c r="M60" s="449">
        <v>256</v>
      </c>
      <c r="N60" s="449">
        <v>256</v>
      </c>
      <c r="O60" s="449">
        <v>506</v>
      </c>
      <c r="P60" s="449">
        <v>756</v>
      </c>
      <c r="Q60" s="449">
        <v>756</v>
      </c>
      <c r="R60" s="449">
        <v>756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449">
        <v>0</v>
      </c>
      <c r="I61" s="449">
        <v>0</v>
      </c>
      <c r="J61" s="449">
        <v>0</v>
      </c>
      <c r="K61" s="449">
        <v>0</v>
      </c>
      <c r="L61" s="449">
        <v>0</v>
      </c>
      <c r="M61" s="449">
        <v>0</v>
      </c>
      <c r="N61" s="449">
        <v>0</v>
      </c>
      <c r="O61" s="449">
        <v>0</v>
      </c>
      <c r="P61" s="449">
        <v>0</v>
      </c>
      <c r="Q61" s="449">
        <v>0</v>
      </c>
      <c r="R61" s="449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449">
        <v>0</v>
      </c>
      <c r="I62" s="449">
        <v>0</v>
      </c>
      <c r="J62" s="449">
        <v>0</v>
      </c>
      <c r="K62" s="449">
        <v>0</v>
      </c>
      <c r="L62" s="449">
        <v>0</v>
      </c>
      <c r="M62" s="449">
        <v>0</v>
      </c>
      <c r="N62" s="449">
        <v>0</v>
      </c>
      <c r="O62" s="449">
        <v>0</v>
      </c>
      <c r="P62" s="449">
        <v>0</v>
      </c>
      <c r="Q62" s="449">
        <v>0</v>
      </c>
      <c r="R62" s="449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449">
        <v>0</v>
      </c>
      <c r="I63" s="449">
        <v>0</v>
      </c>
      <c r="J63" s="449">
        <v>0</v>
      </c>
      <c r="K63" s="449">
        <v>0</v>
      </c>
      <c r="L63" s="449">
        <v>0</v>
      </c>
      <c r="M63" s="449">
        <v>0</v>
      </c>
      <c r="N63" s="449">
        <v>0</v>
      </c>
      <c r="O63" s="449">
        <v>0</v>
      </c>
      <c r="P63" s="449">
        <v>0</v>
      </c>
      <c r="Q63" s="449">
        <v>0</v>
      </c>
      <c r="R63" s="449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449">
        <v>0</v>
      </c>
      <c r="I64" s="449">
        <v>0</v>
      </c>
      <c r="J64" s="449">
        <v>0</v>
      </c>
      <c r="K64" s="449">
        <v>0</v>
      </c>
      <c r="L64" s="449">
        <v>0</v>
      </c>
      <c r="M64" s="449">
        <v>0</v>
      </c>
      <c r="N64" s="449">
        <v>0</v>
      </c>
      <c r="O64" s="449">
        <v>0</v>
      </c>
      <c r="P64" s="449">
        <v>0</v>
      </c>
      <c r="Q64" s="449">
        <v>0</v>
      </c>
      <c r="R64" s="449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449">
        <v>0</v>
      </c>
      <c r="I65" s="449">
        <v>0</v>
      </c>
      <c r="J65" s="449">
        <v>0</v>
      </c>
      <c r="K65" s="449">
        <v>0</v>
      </c>
      <c r="L65" s="449">
        <v>0</v>
      </c>
      <c r="M65" s="449">
        <v>0</v>
      </c>
      <c r="N65" s="449">
        <v>0</v>
      </c>
      <c r="O65" s="449">
        <v>0</v>
      </c>
      <c r="P65" s="449">
        <v>0</v>
      </c>
      <c r="Q65" s="449">
        <v>0</v>
      </c>
      <c r="R65" s="449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449">
        <v>0</v>
      </c>
      <c r="I66" s="449">
        <v>0</v>
      </c>
      <c r="J66" s="449">
        <v>0</v>
      </c>
      <c r="K66" s="449">
        <v>0</v>
      </c>
      <c r="L66" s="449">
        <v>0</v>
      </c>
      <c r="M66" s="449">
        <v>0</v>
      </c>
      <c r="N66" s="449">
        <v>0</v>
      </c>
      <c r="O66" s="449">
        <v>0</v>
      </c>
      <c r="P66" s="449">
        <v>0</v>
      </c>
      <c r="Q66" s="449">
        <v>0</v>
      </c>
      <c r="R66" s="449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449">
        <v>0</v>
      </c>
      <c r="I67" s="449">
        <v>0</v>
      </c>
      <c r="J67" s="449">
        <v>0</v>
      </c>
      <c r="K67" s="449">
        <v>0</v>
      </c>
      <c r="L67" s="449">
        <v>0</v>
      </c>
      <c r="M67" s="449">
        <v>0</v>
      </c>
      <c r="N67" s="449">
        <v>0</v>
      </c>
      <c r="O67" s="449">
        <v>0</v>
      </c>
      <c r="P67" s="449">
        <v>0</v>
      </c>
      <c r="Q67" s="449">
        <v>0</v>
      </c>
      <c r="R67" s="449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449">
        <v>0</v>
      </c>
      <c r="I68" s="449">
        <v>0</v>
      </c>
      <c r="J68" s="449">
        <v>0</v>
      </c>
      <c r="K68" s="449">
        <v>0</v>
      </c>
      <c r="L68" s="449">
        <v>0</v>
      </c>
      <c r="M68" s="449">
        <v>0</v>
      </c>
      <c r="N68" s="449">
        <v>0</v>
      </c>
      <c r="O68" s="449">
        <v>0</v>
      </c>
      <c r="P68" s="449">
        <v>0</v>
      </c>
      <c r="Q68" s="449">
        <v>0</v>
      </c>
      <c r="R68" s="449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449">
        <v>0</v>
      </c>
      <c r="I69" s="449">
        <v>0</v>
      </c>
      <c r="J69" s="449">
        <v>0</v>
      </c>
      <c r="K69" s="449">
        <v>0</v>
      </c>
      <c r="L69" s="449">
        <v>0</v>
      </c>
      <c r="M69" s="449">
        <v>0</v>
      </c>
      <c r="N69" s="449">
        <v>0</v>
      </c>
      <c r="O69" s="449">
        <v>0</v>
      </c>
      <c r="P69" s="449">
        <v>0</v>
      </c>
      <c r="Q69" s="449">
        <v>0</v>
      </c>
      <c r="R69" s="449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449">
        <v>5.0999999999999997E-2</v>
      </c>
      <c r="I70" s="449">
        <v>0</v>
      </c>
      <c r="J70" s="449">
        <v>-1E-3</v>
      </c>
      <c r="K70" s="449">
        <v>0</v>
      </c>
      <c r="L70" s="449">
        <v>6.8579999999999997</v>
      </c>
      <c r="M70" s="449">
        <v>2</v>
      </c>
      <c r="N70" s="449">
        <v>0</v>
      </c>
      <c r="O70" s="449">
        <v>0</v>
      </c>
      <c r="P70" s="449">
        <v>0</v>
      </c>
      <c r="Q70" s="449">
        <v>0</v>
      </c>
      <c r="R70" s="449">
        <v>0</v>
      </c>
    </row>
    <row r="71" spans="2:18" x14ac:dyDescent="0.2">
      <c r="B71" s="51" t="s">
        <v>162</v>
      </c>
      <c r="D71" s="16"/>
      <c r="E71" s="22"/>
      <c r="F71" s="22"/>
      <c r="G71" s="455" t="s">
        <v>163</v>
      </c>
      <c r="H71" s="448">
        <f t="shared" ref="H71:R71" si="16">SUM(H58:H70)</f>
        <v>-515.53399999999988</v>
      </c>
      <c r="I71" s="448">
        <f t="shared" si="16"/>
        <v>247.39499999999998</v>
      </c>
      <c r="J71" s="448">
        <f t="shared" si="16"/>
        <v>17.869000000000003</v>
      </c>
      <c r="K71" s="448">
        <f t="shared" si="16"/>
        <v>223.42000000000002</v>
      </c>
      <c r="L71" s="448">
        <f t="shared" si="16"/>
        <v>6105.8670000000002</v>
      </c>
      <c r="M71" s="448">
        <f t="shared" si="16"/>
        <v>69.37700000000001</v>
      </c>
      <c r="N71" s="448">
        <f t="shared" si="16"/>
        <v>0.37700000000000955</v>
      </c>
      <c r="O71" s="448">
        <f t="shared" si="16"/>
        <v>0.37700000000000955</v>
      </c>
      <c r="P71" s="448">
        <f t="shared" si="16"/>
        <v>0.37699999999995271</v>
      </c>
      <c r="Q71" s="448">
        <f t="shared" si="16"/>
        <v>0.37699999999995271</v>
      </c>
      <c r="R71" s="448">
        <f t="shared" si="16"/>
        <v>0.37699999999995271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445" t="s">
        <v>164</v>
      </c>
      <c r="H73" s="453">
        <f t="shared" ref="H73:R73" si="17">H57</f>
        <v>2011</v>
      </c>
      <c r="I73" s="453">
        <f t="shared" si="17"/>
        <v>2012</v>
      </c>
      <c r="J73" s="453">
        <f t="shared" si="17"/>
        <v>2013</v>
      </c>
      <c r="K73" s="453">
        <f t="shared" si="17"/>
        <v>2014</v>
      </c>
      <c r="L73" s="453">
        <f t="shared" si="17"/>
        <v>2015</v>
      </c>
      <c r="M73" s="453">
        <f t="shared" si="17"/>
        <v>2016</v>
      </c>
      <c r="N73" s="453">
        <f t="shared" si="17"/>
        <v>2017</v>
      </c>
      <c r="O73" s="453">
        <f t="shared" si="17"/>
        <v>2018</v>
      </c>
      <c r="P73" s="453">
        <f t="shared" si="17"/>
        <v>2019</v>
      </c>
      <c r="Q73" s="453">
        <f t="shared" si="17"/>
        <v>2020</v>
      </c>
      <c r="R73" s="453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447" t="s">
        <v>167</v>
      </c>
      <c r="H74" s="449">
        <v>0</v>
      </c>
      <c r="I74" s="449">
        <v>0</v>
      </c>
      <c r="J74" s="449">
        <v>0</v>
      </c>
      <c r="K74" s="449">
        <v>0</v>
      </c>
      <c r="L74" s="449">
        <v>0</v>
      </c>
      <c r="M74" s="449">
        <v>0</v>
      </c>
      <c r="N74" s="449">
        <v>0</v>
      </c>
      <c r="O74" s="449">
        <v>0</v>
      </c>
      <c r="P74" s="449">
        <v>0</v>
      </c>
      <c r="Q74" s="449">
        <v>0</v>
      </c>
      <c r="R74" s="449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449">
        <v>0</v>
      </c>
      <c r="I75" s="449">
        <v>0</v>
      </c>
      <c r="J75" s="449">
        <v>0</v>
      </c>
      <c r="K75" s="449">
        <v>0</v>
      </c>
      <c r="L75" s="449">
        <v>0</v>
      </c>
      <c r="M75" s="449">
        <v>0</v>
      </c>
      <c r="N75" s="449">
        <v>0</v>
      </c>
      <c r="O75" s="449">
        <v>0</v>
      </c>
      <c r="P75" s="449">
        <v>0</v>
      </c>
      <c r="Q75" s="449">
        <v>0</v>
      </c>
      <c r="R75" s="449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449">
        <v>0</v>
      </c>
      <c r="I76" s="449">
        <v>0</v>
      </c>
      <c r="J76" s="449">
        <v>0</v>
      </c>
      <c r="K76" s="449">
        <v>0</v>
      </c>
      <c r="L76" s="449">
        <v>0</v>
      </c>
      <c r="M76" s="449">
        <v>0</v>
      </c>
      <c r="N76" s="449">
        <v>0</v>
      </c>
      <c r="O76" s="449">
        <v>0</v>
      </c>
      <c r="P76" s="449">
        <v>0</v>
      </c>
      <c r="Q76" s="449">
        <v>0</v>
      </c>
      <c r="R76" s="449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449">
        <v>0</v>
      </c>
      <c r="I77" s="449">
        <v>0</v>
      </c>
      <c r="J77" s="449">
        <v>0</v>
      </c>
      <c r="K77" s="449">
        <v>0</v>
      </c>
      <c r="L77" s="449">
        <v>0</v>
      </c>
      <c r="M77" s="449">
        <v>0</v>
      </c>
      <c r="N77" s="449">
        <v>0</v>
      </c>
      <c r="O77" s="449">
        <v>0</v>
      </c>
      <c r="P77" s="449">
        <v>0</v>
      </c>
      <c r="Q77" s="449">
        <v>0</v>
      </c>
      <c r="R77" s="449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449">
        <v>-666.80700000000002</v>
      </c>
      <c r="I78" s="449">
        <v>-1160.5830000000001</v>
      </c>
      <c r="J78" s="449">
        <v>-1266.683</v>
      </c>
      <c r="K78" s="449">
        <v>-392.42</v>
      </c>
      <c r="L78" s="449">
        <v>-6606.3639999999996</v>
      </c>
      <c r="M78" s="449">
        <v>-374</v>
      </c>
      <c r="N78" s="449">
        <v>-374</v>
      </c>
      <c r="O78" s="449">
        <v>-374</v>
      </c>
      <c r="P78" s="449">
        <v>-374</v>
      </c>
      <c r="Q78" s="449">
        <v>-457</v>
      </c>
      <c r="R78" s="449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449">
        <v>-558.029</v>
      </c>
      <c r="I79" s="449">
        <v>-593.56899999999996</v>
      </c>
      <c r="J79" s="449">
        <v>-547.798</v>
      </c>
      <c r="K79" s="449">
        <v>-541.44899999999996</v>
      </c>
      <c r="L79" s="449">
        <v>-1102.68</v>
      </c>
      <c r="M79" s="449">
        <v>-263</v>
      </c>
      <c r="N79" s="449">
        <v>-265</v>
      </c>
      <c r="O79" s="449">
        <v>-265</v>
      </c>
      <c r="P79" s="449">
        <v>-265</v>
      </c>
      <c r="Q79" s="449">
        <f>-1379-Q78</f>
        <v>-922</v>
      </c>
      <c r="R79" s="449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449">
        <v>-409.63900000000001</v>
      </c>
      <c r="I80" s="449">
        <v>-429.63400000000001</v>
      </c>
      <c r="J80" s="449">
        <v>-396.24</v>
      </c>
      <c r="K80" s="449">
        <v>0</v>
      </c>
      <c r="L80" s="449">
        <v>0</v>
      </c>
      <c r="M80" s="449">
        <v>0</v>
      </c>
      <c r="N80" s="449">
        <v>0</v>
      </c>
      <c r="O80" s="449">
        <v>0</v>
      </c>
      <c r="P80" s="449">
        <v>0</v>
      </c>
      <c r="Q80" s="449">
        <v>0</v>
      </c>
      <c r="R80" s="449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449">
        <v>0</v>
      </c>
      <c r="I81" s="449">
        <v>0</v>
      </c>
      <c r="J81" s="449">
        <v>0</v>
      </c>
      <c r="K81" s="449">
        <v>0</v>
      </c>
      <c r="L81" s="449">
        <v>0</v>
      </c>
      <c r="M81" s="449">
        <v>0</v>
      </c>
      <c r="N81" s="449">
        <v>0</v>
      </c>
      <c r="O81" s="449">
        <v>0</v>
      </c>
      <c r="P81" s="449">
        <v>0</v>
      </c>
      <c r="Q81" s="449">
        <v>0</v>
      </c>
      <c r="R81" s="449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449">
        <v>5566.2669999999998</v>
      </c>
      <c r="I82" s="449">
        <v>5309.223</v>
      </c>
      <c r="J82" s="449">
        <v>5579.7079999999996</v>
      </c>
      <c r="K82" s="449">
        <v>0</v>
      </c>
      <c r="L82" s="449">
        <v>0</v>
      </c>
      <c r="M82" s="449">
        <v>0</v>
      </c>
      <c r="N82" s="449">
        <v>0</v>
      </c>
      <c r="O82" s="449">
        <v>0</v>
      </c>
      <c r="P82" s="449">
        <v>0</v>
      </c>
      <c r="Q82" s="449">
        <v>0</v>
      </c>
      <c r="R82" s="449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449">
        <v>0</v>
      </c>
      <c r="I83" s="449">
        <v>0</v>
      </c>
      <c r="J83" s="449">
        <v>0</v>
      </c>
      <c r="K83" s="449">
        <v>0</v>
      </c>
      <c r="L83" s="449">
        <v>0</v>
      </c>
      <c r="M83" s="449">
        <v>0</v>
      </c>
      <c r="N83" s="449">
        <v>0</v>
      </c>
      <c r="O83" s="449">
        <v>0</v>
      </c>
      <c r="P83" s="449">
        <v>0</v>
      </c>
      <c r="Q83" s="449">
        <v>0</v>
      </c>
      <c r="R83" s="449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</row>
    <row r="85" spans="1:18" x14ac:dyDescent="0.2">
      <c r="B85" s="2" t="s">
        <v>192</v>
      </c>
      <c r="G85" s="186" t="s">
        <v>163</v>
      </c>
      <c r="H85" s="448">
        <f>SUM(H74:H83)</f>
        <v>3931.7919999999999</v>
      </c>
      <c r="I85" s="448">
        <f t="shared" ref="I85:R85" si="18">SUM(I74:I83)</f>
        <v>3125.4369999999999</v>
      </c>
      <c r="J85" s="448">
        <f t="shared" si="18"/>
        <v>3368.9869999999996</v>
      </c>
      <c r="K85" s="448">
        <f t="shared" si="18"/>
        <v>-933.86899999999991</v>
      </c>
      <c r="L85" s="448">
        <f t="shared" si="18"/>
        <v>-7709.0439999999999</v>
      </c>
      <c r="M85" s="448">
        <f t="shared" si="18"/>
        <v>-637</v>
      </c>
      <c r="N85" s="448">
        <f t="shared" si="18"/>
        <v>-639</v>
      </c>
      <c r="O85" s="448">
        <f t="shared" si="18"/>
        <v>-639</v>
      </c>
      <c r="P85" s="448">
        <f t="shared" si="18"/>
        <v>-639</v>
      </c>
      <c r="Q85" s="448">
        <f t="shared" si="18"/>
        <v>-1379</v>
      </c>
      <c r="R85" s="448">
        <f t="shared" si="18"/>
        <v>0</v>
      </c>
    </row>
    <row r="87" spans="1:18" x14ac:dyDescent="0.2">
      <c r="A87" s="23" t="s">
        <v>0</v>
      </c>
      <c r="D87" s="1209" t="s">
        <v>193</v>
      </c>
      <c r="E87" s="1210"/>
      <c r="G87" s="445" t="s">
        <v>194</v>
      </c>
      <c r="H87" s="453">
        <f t="shared" ref="H87:R87" si="19">H32</f>
        <v>2011</v>
      </c>
      <c r="I87" s="453">
        <f t="shared" si="19"/>
        <v>2012</v>
      </c>
      <c r="J87" s="453">
        <f t="shared" si="19"/>
        <v>2013</v>
      </c>
      <c r="K87" s="453">
        <f t="shared" si="19"/>
        <v>2014</v>
      </c>
      <c r="L87" s="453">
        <f t="shared" si="19"/>
        <v>2015</v>
      </c>
      <c r="M87" s="453">
        <f t="shared" si="19"/>
        <v>2016</v>
      </c>
      <c r="N87" s="453">
        <f t="shared" si="19"/>
        <v>2017</v>
      </c>
      <c r="O87" s="453">
        <f t="shared" si="19"/>
        <v>2018</v>
      </c>
      <c r="P87" s="453">
        <f t="shared" si="19"/>
        <v>2019</v>
      </c>
      <c r="Q87" s="453">
        <f t="shared" si="19"/>
        <v>2020</v>
      </c>
      <c r="R87" s="453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456"/>
      <c r="G88" s="447" t="s">
        <v>198</v>
      </c>
      <c r="H88" s="448">
        <f>H46+H71</f>
        <v>-3932.6570000000002</v>
      </c>
      <c r="I88" s="448">
        <f t="shared" ref="I88:R88" si="20">I46+I71</f>
        <v>-3163.7520000000009</v>
      </c>
      <c r="J88" s="448">
        <f t="shared" si="20"/>
        <v>-3702.4139999999989</v>
      </c>
      <c r="K88" s="448">
        <f t="shared" si="20"/>
        <v>543.35000000000036</v>
      </c>
      <c r="L88" s="448">
        <f t="shared" si="20"/>
        <v>13394.776</v>
      </c>
      <c r="M88" s="448">
        <f t="shared" si="20"/>
        <v>319.37700000000001</v>
      </c>
      <c r="N88" s="448">
        <f t="shared" si="20"/>
        <v>388.37700000000001</v>
      </c>
      <c r="O88" s="448">
        <f t="shared" si="20"/>
        <v>307.15700000000066</v>
      </c>
      <c r="P88" s="448">
        <f t="shared" si="20"/>
        <v>156.07695000000012</v>
      </c>
      <c r="Q88" s="448">
        <f t="shared" si="20"/>
        <v>847.81075400000145</v>
      </c>
      <c r="R88" s="448">
        <f t="shared" si="20"/>
        <v>63.011178825001025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456"/>
      <c r="G89" s="447" t="s">
        <v>202</v>
      </c>
      <c r="H89" s="457">
        <f t="shared" ref="H89:R89" si="21">H33+H38+H41-H45</f>
        <v>-2911.0800000000004</v>
      </c>
      <c r="I89" s="448">
        <f t="shared" si="21"/>
        <v>-2894.0090000000009</v>
      </c>
      <c r="J89" s="448">
        <f t="shared" si="21"/>
        <v>-3167.9439999999991</v>
      </c>
      <c r="K89" s="448">
        <f t="shared" si="21"/>
        <v>831.66600000000028</v>
      </c>
      <c r="L89" s="448">
        <f t="shared" si="21"/>
        <v>7855.8289999999997</v>
      </c>
      <c r="M89" s="448">
        <f t="shared" si="21"/>
        <v>846</v>
      </c>
      <c r="N89" s="448">
        <f t="shared" si="21"/>
        <v>936</v>
      </c>
      <c r="O89" s="448">
        <f t="shared" si="21"/>
        <v>871.78000000000065</v>
      </c>
      <c r="P89" s="448">
        <f t="shared" si="21"/>
        <v>720.69995000000017</v>
      </c>
      <c r="Q89" s="448">
        <f t="shared" si="21"/>
        <v>1412.4337540000015</v>
      </c>
      <c r="R89" s="448">
        <f t="shared" si="21"/>
        <v>627.63417882500107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458">
        <v>0</v>
      </c>
      <c r="G90" s="186" t="s">
        <v>206</v>
      </c>
      <c r="H90" s="459">
        <f t="shared" ref="H90:R90" si="22">H89/H33</f>
        <v>-0.93133370295590368</v>
      </c>
      <c r="I90" s="460">
        <f t="shared" si="22"/>
        <v>-0.89433747691927379</v>
      </c>
      <c r="J90" s="460">
        <f t="shared" si="22"/>
        <v>-1.0004923595835626</v>
      </c>
      <c r="K90" s="460">
        <f t="shared" si="22"/>
        <v>0.10759131275564819</v>
      </c>
      <c r="L90" s="460">
        <f t="shared" si="22"/>
        <v>0.47762936249075999</v>
      </c>
      <c r="M90" s="460">
        <f t="shared" si="22"/>
        <v>0.1009185255874985</v>
      </c>
      <c r="N90" s="460">
        <f t="shared" si="22"/>
        <v>0.10900197973681146</v>
      </c>
      <c r="O90" s="460">
        <f t="shared" si="22"/>
        <v>9.3940291913385099E-2</v>
      </c>
      <c r="P90" s="460">
        <f t="shared" si="22"/>
        <v>7.8080680956324297E-2</v>
      </c>
      <c r="Q90" s="460">
        <f t="shared" si="22"/>
        <v>0.14066497207701975</v>
      </c>
      <c r="R90" s="460">
        <f t="shared" si="22"/>
        <v>6.6808422146477753E-2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456"/>
      <c r="G91" s="18" t="s">
        <v>210</v>
      </c>
      <c r="H91" s="461">
        <f t="shared" ref="H91:R91" si="23">-H33/(H38+H41)</f>
        <v>0.47773044524742642</v>
      </c>
      <c r="I91" s="461">
        <f t="shared" si="23"/>
        <v>0.48681961019829478</v>
      </c>
      <c r="J91" s="461">
        <f t="shared" si="23"/>
        <v>0.4597847609322826</v>
      </c>
      <c r="K91" s="461">
        <f t="shared" si="23"/>
        <v>1.0431758348119795</v>
      </c>
      <c r="L91" s="461">
        <f t="shared" si="23"/>
        <v>1.7958511930765211</v>
      </c>
      <c r="M91" s="461">
        <f t="shared" si="23"/>
        <v>1.0307389647116685</v>
      </c>
      <c r="N91" s="461">
        <f t="shared" si="23"/>
        <v>1.0473228442492988</v>
      </c>
      <c r="O91" s="461">
        <f t="shared" si="23"/>
        <v>1.0341878246411327</v>
      </c>
      <c r="P91" s="461">
        <f t="shared" si="23"/>
        <v>1.0171579730401654</v>
      </c>
      <c r="Q91" s="461">
        <f t="shared" si="23"/>
        <v>1.092175630501484</v>
      </c>
      <c r="R91" s="461">
        <f t="shared" si="23"/>
        <v>1.0067118337520595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456"/>
      <c r="G92" s="447" t="s">
        <v>214</v>
      </c>
      <c r="H92" s="457">
        <f>H46</f>
        <v>-3417.1230000000005</v>
      </c>
      <c r="I92" s="457">
        <f t="shared" ref="I92:R92" si="24">I46</f>
        <v>-3411.1470000000008</v>
      </c>
      <c r="J92" s="457">
        <f t="shared" si="24"/>
        <v>-3720.282999999999</v>
      </c>
      <c r="K92" s="457">
        <f t="shared" si="24"/>
        <v>319.93000000000029</v>
      </c>
      <c r="L92" s="457">
        <f t="shared" si="24"/>
        <v>7288.9089999999997</v>
      </c>
      <c r="M92" s="457">
        <f t="shared" si="24"/>
        <v>250</v>
      </c>
      <c r="N92" s="457">
        <f t="shared" si="24"/>
        <v>388</v>
      </c>
      <c r="O92" s="457">
        <f t="shared" si="24"/>
        <v>306.78000000000065</v>
      </c>
      <c r="P92" s="457">
        <f t="shared" si="24"/>
        <v>155.69995000000017</v>
      </c>
      <c r="Q92" s="457">
        <f t="shared" si="24"/>
        <v>847.4337540000015</v>
      </c>
      <c r="R92" s="457">
        <f t="shared" si="24"/>
        <v>62.634178825001072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458">
        <v>-0.3</v>
      </c>
      <c r="E93" s="458">
        <v>0</v>
      </c>
      <c r="G93" s="18" t="s">
        <v>218</v>
      </c>
      <c r="H93" s="462">
        <f>H46/H33</f>
        <v>-1.0932306281674795</v>
      </c>
      <c r="I93" s="463">
        <f t="shared" ref="I93:R93" si="25">I46/I33</f>
        <v>-1.054148968223924</v>
      </c>
      <c r="J93" s="463">
        <f t="shared" si="25"/>
        <v>-1.1749307175217161</v>
      </c>
      <c r="K93" s="463">
        <f t="shared" si="25"/>
        <v>4.1388837213394016E-2</v>
      </c>
      <c r="L93" s="463">
        <f t="shared" si="25"/>
        <v>0.44316099025617317</v>
      </c>
      <c r="M93" s="463">
        <f t="shared" si="25"/>
        <v>2.9822259334367173E-2</v>
      </c>
      <c r="N93" s="463">
        <f t="shared" si="25"/>
        <v>4.518458134389193E-2</v>
      </c>
      <c r="O93" s="463">
        <f t="shared" si="25"/>
        <v>3.3057655318071442E-2</v>
      </c>
      <c r="P93" s="463">
        <f t="shared" si="25"/>
        <v>1.6868543033568485E-2</v>
      </c>
      <c r="Q93" s="463">
        <f t="shared" si="25"/>
        <v>8.4396344257526221E-2</v>
      </c>
      <c r="R93" s="463">
        <f t="shared" si="25"/>
        <v>6.6670853833557435E-3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456"/>
      <c r="G94" s="186" t="s">
        <v>222</v>
      </c>
      <c r="H94" s="457">
        <f>H29+H30</f>
        <v>0</v>
      </c>
      <c r="I94" s="457">
        <f t="shared" ref="I94:R94" si="26">I29+I30</f>
        <v>0</v>
      </c>
      <c r="J94" s="457">
        <f t="shared" si="26"/>
        <v>0</v>
      </c>
      <c r="K94" s="457">
        <f t="shared" si="26"/>
        <v>0</v>
      </c>
      <c r="L94" s="457">
        <f t="shared" si="26"/>
        <v>5974.7759999999998</v>
      </c>
      <c r="M94" s="457">
        <f t="shared" si="26"/>
        <v>5962</v>
      </c>
      <c r="N94" s="457">
        <f t="shared" si="26"/>
        <v>6085</v>
      </c>
      <c r="O94" s="457">
        <f t="shared" si="26"/>
        <v>6126.7800000000007</v>
      </c>
      <c r="P94" s="457">
        <f t="shared" si="26"/>
        <v>6017.4799500000008</v>
      </c>
      <c r="Q94" s="457">
        <f t="shared" si="26"/>
        <v>5942.9137040000023</v>
      </c>
      <c r="R94" s="457">
        <f t="shared" si="26"/>
        <v>6005.5478828250034</v>
      </c>
    </row>
    <row r="95" spans="1:18" x14ac:dyDescent="0.2">
      <c r="G95" s="68" t="s">
        <v>223</v>
      </c>
      <c r="H95" s="453">
        <f t="shared" ref="H95:R95" si="27">H87</f>
        <v>2011</v>
      </c>
      <c r="I95" s="453">
        <f t="shared" si="27"/>
        <v>2012</v>
      </c>
      <c r="J95" s="453">
        <f t="shared" si="27"/>
        <v>2013</v>
      </c>
      <c r="K95" s="453">
        <f t="shared" si="27"/>
        <v>2014</v>
      </c>
      <c r="L95" s="453">
        <f t="shared" si="27"/>
        <v>2015</v>
      </c>
      <c r="M95" s="453">
        <f t="shared" si="27"/>
        <v>2016</v>
      </c>
      <c r="N95" s="453">
        <f t="shared" si="27"/>
        <v>2017</v>
      </c>
      <c r="O95" s="453">
        <f t="shared" si="27"/>
        <v>2018</v>
      </c>
      <c r="P95" s="453">
        <f t="shared" si="27"/>
        <v>2019</v>
      </c>
      <c r="Q95" s="453">
        <f t="shared" si="27"/>
        <v>2020</v>
      </c>
      <c r="R95" s="453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456"/>
      <c r="F96" s="69"/>
      <c r="G96" s="447" t="s">
        <v>227</v>
      </c>
      <c r="H96" s="457">
        <f t="shared" ref="H96:R96" si="28">H6+H12</f>
        <v>21.997</v>
      </c>
      <c r="I96" s="448">
        <f t="shared" si="28"/>
        <v>64.602999999999994</v>
      </c>
      <c r="J96" s="448">
        <f t="shared" si="28"/>
        <v>87.647000000000006</v>
      </c>
      <c r="K96" s="448">
        <f t="shared" si="28"/>
        <v>374.863</v>
      </c>
      <c r="L96" s="448">
        <f t="shared" si="28"/>
        <v>132.35599999999999</v>
      </c>
      <c r="M96" s="448">
        <f t="shared" si="28"/>
        <v>246</v>
      </c>
      <c r="N96" s="448">
        <f t="shared" si="28"/>
        <v>150</v>
      </c>
      <c r="O96" s="448">
        <f t="shared" si="28"/>
        <v>150</v>
      </c>
      <c r="P96" s="448">
        <f t="shared" si="28"/>
        <v>150</v>
      </c>
      <c r="Q96" s="448">
        <f t="shared" si="28"/>
        <v>150</v>
      </c>
      <c r="R96" s="448">
        <f t="shared" si="28"/>
        <v>150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456"/>
      <c r="F97" s="69"/>
      <c r="G97" s="18" t="s">
        <v>230</v>
      </c>
      <c r="H97" s="457">
        <f>H19</f>
        <v>13131.633000000002</v>
      </c>
      <c r="I97" s="457">
        <f t="shared" ref="I97:R97" si="29">I19</f>
        <v>11512.879000000001</v>
      </c>
      <c r="J97" s="457">
        <f t="shared" si="29"/>
        <v>9914.094000000001</v>
      </c>
      <c r="K97" s="457">
        <f t="shared" si="29"/>
        <v>9697.2379999999994</v>
      </c>
      <c r="L97" s="457">
        <f t="shared" si="29"/>
        <v>2969.6860000000001</v>
      </c>
      <c r="M97" s="457">
        <f t="shared" si="29"/>
        <v>2978</v>
      </c>
      <c r="N97" s="457">
        <f t="shared" si="29"/>
        <v>2334</v>
      </c>
      <c r="O97" s="457">
        <f t="shared" si="29"/>
        <v>2148</v>
      </c>
      <c r="P97" s="457">
        <f t="shared" si="29"/>
        <v>2454</v>
      </c>
      <c r="Q97" s="457">
        <f t="shared" si="29"/>
        <v>2250</v>
      </c>
      <c r="R97" s="457">
        <f t="shared" si="29"/>
        <v>2178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456"/>
      <c r="F98" s="69"/>
      <c r="G98" s="18" t="s">
        <v>234</v>
      </c>
      <c r="H98" s="457">
        <f t="shared" ref="H98:R98" si="30">H97-H96</f>
        <v>13109.636000000002</v>
      </c>
      <c r="I98" s="448">
        <f t="shared" si="30"/>
        <v>11448.276000000002</v>
      </c>
      <c r="J98" s="448">
        <f t="shared" si="30"/>
        <v>9826.4470000000001</v>
      </c>
      <c r="K98" s="448">
        <f t="shared" si="30"/>
        <v>9322.375</v>
      </c>
      <c r="L98" s="448">
        <f t="shared" si="30"/>
        <v>2837.33</v>
      </c>
      <c r="M98" s="448">
        <f t="shared" si="30"/>
        <v>2732</v>
      </c>
      <c r="N98" s="448">
        <f t="shared" si="30"/>
        <v>2184</v>
      </c>
      <c r="O98" s="448">
        <f t="shared" si="30"/>
        <v>1998</v>
      </c>
      <c r="P98" s="448">
        <f t="shared" si="30"/>
        <v>2304</v>
      </c>
      <c r="Q98" s="448">
        <f t="shared" si="30"/>
        <v>2100</v>
      </c>
      <c r="R98" s="448">
        <f t="shared" si="30"/>
        <v>2028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458">
        <v>0.4</v>
      </c>
      <c r="F99" s="69"/>
      <c r="G99" s="18" t="s">
        <v>238</v>
      </c>
      <c r="H99" s="464">
        <f t="shared" ref="H99:R99" si="31">H98/H33</f>
        <v>4.1941292717081016</v>
      </c>
      <c r="I99" s="460">
        <f t="shared" si="31"/>
        <v>3.5378681520739828</v>
      </c>
      <c r="J99" s="460">
        <f t="shared" si="31"/>
        <v>3.1033645624268682</v>
      </c>
      <c r="K99" s="460">
        <f t="shared" si="31"/>
        <v>1.2060208836845987</v>
      </c>
      <c r="L99" s="460">
        <f t="shared" si="31"/>
        <v>0.17250784342122366</v>
      </c>
      <c r="M99" s="460">
        <f t="shared" si="31"/>
        <v>0.32589765000596443</v>
      </c>
      <c r="N99" s="460">
        <f t="shared" si="31"/>
        <v>0.25433795271922671</v>
      </c>
      <c r="O99" s="460">
        <f t="shared" si="31"/>
        <v>0.21529824410165785</v>
      </c>
      <c r="P99" s="460">
        <f t="shared" si="31"/>
        <v>0.24961551464429979</v>
      </c>
      <c r="Q99" s="460">
        <f t="shared" si="31"/>
        <v>0.20914003260342726</v>
      </c>
      <c r="R99" s="460">
        <f t="shared" si="31"/>
        <v>0.21587014328426804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465">
        <v>0</v>
      </c>
      <c r="E100" s="465">
        <v>5</v>
      </c>
      <c r="F100" s="69"/>
      <c r="G100" s="18" t="s">
        <v>242</v>
      </c>
      <c r="H100" s="461">
        <f t="shared" ref="H100:R100" si="32">H98/H89</f>
        <v>-4.5033582038281326</v>
      </c>
      <c r="I100" s="461">
        <f t="shared" si="32"/>
        <v>-3.9558536272692995</v>
      </c>
      <c r="J100" s="461">
        <f t="shared" si="32"/>
        <v>-3.1018373430843482</v>
      </c>
      <c r="K100" s="461">
        <f t="shared" si="32"/>
        <v>11.209277522466948</v>
      </c>
      <c r="L100" s="461">
        <f t="shared" si="32"/>
        <v>0.3611751223199996</v>
      </c>
      <c r="M100" s="461">
        <f t="shared" si="32"/>
        <v>3.2293144208037825</v>
      </c>
      <c r="N100" s="461">
        <f t="shared" si="32"/>
        <v>2.3333333333333335</v>
      </c>
      <c r="O100" s="461">
        <f t="shared" si="32"/>
        <v>2.2918626258918517</v>
      </c>
      <c r="P100" s="461">
        <f t="shared" si="32"/>
        <v>3.1968921324331983</v>
      </c>
      <c r="Q100" s="461">
        <f t="shared" si="32"/>
        <v>1.4867953941576491</v>
      </c>
      <c r="R100" s="461">
        <f t="shared" si="32"/>
        <v>3.2311815838274374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456"/>
      <c r="F101" s="69"/>
      <c r="G101" s="18" t="s">
        <v>246</v>
      </c>
      <c r="H101" s="457">
        <f t="shared" ref="H101:R101" si="33">-(H75+H77+H78+H79+H80+H81)</f>
        <v>1634.4749999999999</v>
      </c>
      <c r="I101" s="457">
        <f t="shared" si="33"/>
        <v>2183.7860000000001</v>
      </c>
      <c r="J101" s="457">
        <f t="shared" si="33"/>
        <v>2210.721</v>
      </c>
      <c r="K101" s="457">
        <f t="shared" si="33"/>
        <v>933.86899999999991</v>
      </c>
      <c r="L101" s="457">
        <f t="shared" si="33"/>
        <v>7709.0439999999999</v>
      </c>
      <c r="M101" s="457">
        <f t="shared" si="33"/>
        <v>637</v>
      </c>
      <c r="N101" s="457">
        <f t="shared" si="33"/>
        <v>639</v>
      </c>
      <c r="O101" s="457">
        <f t="shared" si="33"/>
        <v>639</v>
      </c>
      <c r="P101" s="457">
        <f t="shared" si="33"/>
        <v>639</v>
      </c>
      <c r="Q101" s="457">
        <f t="shared" si="33"/>
        <v>1379</v>
      </c>
      <c r="R101" s="457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465">
        <v>1.2</v>
      </c>
      <c r="F102" s="69"/>
      <c r="G102" s="18" t="s">
        <v>250</v>
      </c>
      <c r="H102" s="466">
        <f t="shared" ref="H102:R102" si="34">H89/H101</f>
        <v>-1.7810489606754465</v>
      </c>
      <c r="I102" s="461">
        <f t="shared" si="34"/>
        <v>-1.3252255486572406</v>
      </c>
      <c r="J102" s="461">
        <f t="shared" si="34"/>
        <v>-1.4329913182169975</v>
      </c>
      <c r="K102" s="461">
        <f t="shared" si="34"/>
        <v>0.89055959668861517</v>
      </c>
      <c r="L102" s="461">
        <f t="shared" si="34"/>
        <v>1.0190406229358659</v>
      </c>
      <c r="M102" s="461">
        <f t="shared" si="34"/>
        <v>1.3281004709576139</v>
      </c>
      <c r="N102" s="461">
        <f t="shared" si="34"/>
        <v>1.4647887323943662</v>
      </c>
      <c r="O102" s="461">
        <f t="shared" si="34"/>
        <v>1.3642879499217537</v>
      </c>
      <c r="P102" s="461">
        <f t="shared" si="34"/>
        <v>1.1278559467918625</v>
      </c>
      <c r="Q102" s="461">
        <f t="shared" si="34"/>
        <v>1.0242449267585219</v>
      </c>
      <c r="R102" s="461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465">
        <v>0</v>
      </c>
      <c r="F103" s="69"/>
      <c r="G103" s="447" t="s">
        <v>254</v>
      </c>
      <c r="H103" s="457">
        <f t="shared" ref="H103:R103" si="35">H5-H20</f>
        <v>-2318.5859999999998</v>
      </c>
      <c r="I103" s="457">
        <f t="shared" si="35"/>
        <v>-1892.2629999999999</v>
      </c>
      <c r="J103" s="457">
        <f t="shared" si="35"/>
        <v>-1077.018</v>
      </c>
      <c r="K103" s="457">
        <f t="shared" si="35"/>
        <v>-1347.9789999999998</v>
      </c>
      <c r="L103" s="457">
        <f t="shared" si="35"/>
        <v>-1013.6310000000001</v>
      </c>
      <c r="M103" s="457">
        <f t="shared" si="35"/>
        <v>-1124</v>
      </c>
      <c r="N103" s="457">
        <f t="shared" si="35"/>
        <v>-1350</v>
      </c>
      <c r="O103" s="457">
        <f t="shared" si="35"/>
        <v>-1435</v>
      </c>
      <c r="P103" s="457">
        <f t="shared" si="35"/>
        <v>-1880</v>
      </c>
      <c r="Q103" s="457">
        <f t="shared" si="35"/>
        <v>-1880</v>
      </c>
      <c r="R103" s="457">
        <f t="shared" si="35"/>
        <v>-1880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465">
        <v>1</v>
      </c>
      <c r="F104" s="69"/>
      <c r="G104" s="18" t="s">
        <v>258</v>
      </c>
      <c r="H104" s="466">
        <f t="shared" ref="H104:R104" si="36">H5/H20</f>
        <v>8.947370901311015E-2</v>
      </c>
      <c r="I104" s="466">
        <f t="shared" si="36"/>
        <v>0.12891949011124987</v>
      </c>
      <c r="J104" s="466">
        <f t="shared" si="36"/>
        <v>0.22193598164464234</v>
      </c>
      <c r="K104" s="466">
        <f t="shared" si="36"/>
        <v>0.31278820138882169</v>
      </c>
      <c r="L104" s="466">
        <f t="shared" si="36"/>
        <v>0.28637737767195481</v>
      </c>
      <c r="M104" s="466">
        <f t="shared" si="36"/>
        <v>0.37659456461453134</v>
      </c>
      <c r="N104" s="466">
        <f t="shared" si="36"/>
        <v>0.25</v>
      </c>
      <c r="O104" s="466">
        <f t="shared" si="36"/>
        <v>0.20277777777777778</v>
      </c>
      <c r="P104" s="466">
        <f t="shared" si="36"/>
        <v>0.16444444444444445</v>
      </c>
      <c r="Q104" s="466">
        <f t="shared" si="36"/>
        <v>0.16444444444444445</v>
      </c>
      <c r="R104" s="466">
        <f t="shared" si="36"/>
        <v>0.16444444444444445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465">
        <v>1</v>
      </c>
      <c r="F105" s="69"/>
      <c r="G105" s="186" t="s">
        <v>262</v>
      </c>
      <c r="H105" s="466">
        <f t="shared" ref="H105:R105" si="37">-H6/((H38+H41-H45+H47)/12)</f>
        <v>4.0026269305263006E-2</v>
      </c>
      <c r="I105" s="466">
        <f t="shared" si="37"/>
        <v>0.11530241234404331</v>
      </c>
      <c r="J105" s="466">
        <f t="shared" si="37"/>
        <v>0.15282542737150887</v>
      </c>
      <c r="K105" s="466">
        <f t="shared" si="37"/>
        <v>0.60464659268016152</v>
      </c>
      <c r="L105" s="466">
        <f t="shared" si="37"/>
        <v>0.16400435838191352</v>
      </c>
      <c r="M105" s="466">
        <f t="shared" si="37"/>
        <v>0.37846153846153846</v>
      </c>
      <c r="N105" s="466">
        <f t="shared" si="37"/>
        <v>0.22738756947953515</v>
      </c>
      <c r="O105" s="466">
        <f t="shared" si="37"/>
        <v>0.20753178983486237</v>
      </c>
      <c r="P105" s="466">
        <f t="shared" si="37"/>
        <v>0.20513999804809291</v>
      </c>
      <c r="Q105" s="466">
        <f t="shared" si="37"/>
        <v>0.18846814789893962</v>
      </c>
      <c r="R105" s="466">
        <f t="shared" si="37"/>
        <v>0.20531766835280701</v>
      </c>
    </row>
    <row r="106" spans="1:18" x14ac:dyDescent="0.2">
      <c r="C106" s="16"/>
      <c r="F106" s="69"/>
      <c r="G106" s="68" t="s">
        <v>263</v>
      </c>
      <c r="H106" s="453">
        <f t="shared" ref="H106:R106" si="38">H95</f>
        <v>2011</v>
      </c>
      <c r="I106" s="453">
        <f t="shared" si="38"/>
        <v>2012</v>
      </c>
      <c r="J106" s="453">
        <f t="shared" si="38"/>
        <v>2013</v>
      </c>
      <c r="K106" s="453">
        <f t="shared" si="38"/>
        <v>2014</v>
      </c>
      <c r="L106" s="453">
        <f t="shared" si="38"/>
        <v>2015</v>
      </c>
      <c r="M106" s="453">
        <f t="shared" si="38"/>
        <v>2016</v>
      </c>
      <c r="N106" s="453">
        <f t="shared" si="38"/>
        <v>2017</v>
      </c>
      <c r="O106" s="453">
        <f t="shared" si="38"/>
        <v>2018</v>
      </c>
      <c r="P106" s="453">
        <f t="shared" si="38"/>
        <v>2019</v>
      </c>
      <c r="Q106" s="453">
        <f t="shared" si="38"/>
        <v>2020</v>
      </c>
      <c r="R106" s="453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458">
        <v>0.6</v>
      </c>
      <c r="F107" s="69"/>
      <c r="G107" s="447" t="s">
        <v>267</v>
      </c>
      <c r="H107" s="464">
        <f t="shared" ref="H107:R107" si="39">H17/H4</f>
        <v>0</v>
      </c>
      <c r="I107" s="464">
        <f t="shared" si="39"/>
        <v>0</v>
      </c>
      <c r="J107" s="464">
        <f t="shared" si="39"/>
        <v>0</v>
      </c>
      <c r="K107" s="464">
        <f t="shared" si="39"/>
        <v>0</v>
      </c>
      <c r="L107" s="464">
        <f t="shared" si="39"/>
        <v>0</v>
      </c>
      <c r="M107" s="464">
        <f t="shared" si="39"/>
        <v>0</v>
      </c>
      <c r="N107" s="464">
        <f t="shared" si="39"/>
        <v>0</v>
      </c>
      <c r="O107" s="464">
        <f t="shared" si="39"/>
        <v>0</v>
      </c>
      <c r="P107" s="464">
        <f t="shared" si="39"/>
        <v>0</v>
      </c>
      <c r="Q107" s="464">
        <f t="shared" si="39"/>
        <v>0</v>
      </c>
      <c r="R107" s="464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458">
        <v>0.4</v>
      </c>
      <c r="F108" s="69"/>
      <c r="G108" s="186" t="s">
        <v>271</v>
      </c>
      <c r="H108" s="464" t="e">
        <f t="shared" ref="H108:R108" si="40">H27/H17</f>
        <v>#DIV/0!</v>
      </c>
      <c r="I108" s="464" t="e">
        <f t="shared" si="40"/>
        <v>#DIV/0!</v>
      </c>
      <c r="J108" s="464" t="e">
        <f t="shared" si="40"/>
        <v>#DIV/0!</v>
      </c>
      <c r="K108" s="464" t="e">
        <f t="shared" si="40"/>
        <v>#DIV/0!</v>
      </c>
      <c r="L108" s="464" t="e">
        <f t="shared" si="40"/>
        <v>#DIV/0!</v>
      </c>
      <c r="M108" s="464" t="e">
        <f t="shared" si="40"/>
        <v>#DIV/0!</v>
      </c>
      <c r="N108" s="464" t="e">
        <f t="shared" si="40"/>
        <v>#DIV/0!</v>
      </c>
      <c r="O108" s="464" t="e">
        <f t="shared" si="40"/>
        <v>#DIV/0!</v>
      </c>
      <c r="P108" s="464" t="e">
        <f t="shared" si="40"/>
        <v>#DIV/0!</v>
      </c>
      <c r="Q108" s="464" t="e">
        <f t="shared" si="40"/>
        <v>#DIV/0!</v>
      </c>
      <c r="R108" s="464" t="e">
        <f t="shared" si="40"/>
        <v>#DIV/0!</v>
      </c>
    </row>
    <row r="109" spans="1:18" x14ac:dyDescent="0.2">
      <c r="C109" s="16"/>
      <c r="F109" s="69"/>
      <c r="G109" s="198" t="s">
        <v>272</v>
      </c>
      <c r="H109" s="453">
        <f t="shared" ref="H109:R109" si="41">H95</f>
        <v>2011</v>
      </c>
      <c r="I109" s="453">
        <f t="shared" si="41"/>
        <v>2012</v>
      </c>
      <c r="J109" s="453">
        <f t="shared" si="41"/>
        <v>2013</v>
      </c>
      <c r="K109" s="453">
        <f t="shared" si="41"/>
        <v>2014</v>
      </c>
      <c r="L109" s="453">
        <f t="shared" si="41"/>
        <v>2015</v>
      </c>
      <c r="M109" s="453">
        <f t="shared" si="41"/>
        <v>2016</v>
      </c>
      <c r="N109" s="453">
        <f t="shared" si="41"/>
        <v>2017</v>
      </c>
      <c r="O109" s="453">
        <f t="shared" si="41"/>
        <v>2018</v>
      </c>
      <c r="P109" s="453">
        <f t="shared" si="41"/>
        <v>2019</v>
      </c>
      <c r="Q109" s="453">
        <f t="shared" si="41"/>
        <v>2020</v>
      </c>
      <c r="R109" s="453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456"/>
      <c r="F110" s="69"/>
      <c r="G110" s="18" t="s">
        <v>276</v>
      </c>
      <c r="H110" s="467">
        <f t="shared" ref="H110:R110" si="42">H10/H4</f>
        <v>0.98975941331854289</v>
      </c>
      <c r="I110" s="467">
        <f t="shared" si="42"/>
        <v>0.98723220787647314</v>
      </c>
      <c r="J110" s="467">
        <f t="shared" si="42"/>
        <v>0.98580844556630454</v>
      </c>
      <c r="K110" s="467">
        <f t="shared" si="42"/>
        <v>0.97156971862251085</v>
      </c>
      <c r="L110" s="467">
        <f t="shared" si="42"/>
        <v>0.98067527622001593</v>
      </c>
      <c r="M110" s="467">
        <f t="shared" si="42"/>
        <v>0.96773580422903305</v>
      </c>
      <c r="N110" s="467">
        <f t="shared" si="42"/>
        <v>0.97807444942506339</v>
      </c>
      <c r="O110" s="467">
        <f t="shared" si="42"/>
        <v>0.98209028459273795</v>
      </c>
      <c r="P110" s="467">
        <f t="shared" si="42"/>
        <v>0.9820178849144634</v>
      </c>
      <c r="Q110" s="467">
        <f t="shared" si="42"/>
        <v>0.98177160311360723</v>
      </c>
      <c r="R110" s="467">
        <f t="shared" si="42"/>
        <v>0.98176351717679533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456"/>
      <c r="F111" s="69"/>
      <c r="G111" s="18" t="s">
        <v>280</v>
      </c>
      <c r="H111" s="467">
        <f t="shared" ref="H111:R111" si="43">-(H58)/H15</f>
        <v>4.1879396951217347E-2</v>
      </c>
      <c r="I111" s="467">
        <f t="shared" si="43"/>
        <v>3.4179428477024952E-3</v>
      </c>
      <c r="J111" s="467">
        <f t="shared" si="43"/>
        <v>1.1443979645195015E-2</v>
      </c>
      <c r="K111" s="467">
        <f t="shared" si="43"/>
        <v>8.8038944681136828E-3</v>
      </c>
      <c r="L111" s="467">
        <f t="shared" si="43"/>
        <v>1.1744275712581463E-2</v>
      </c>
      <c r="M111" s="467">
        <f t="shared" si="43"/>
        <v>9.2801728370814109E-3</v>
      </c>
      <c r="N111" s="467">
        <f t="shared" si="43"/>
        <v>1.2752814586031683E-2</v>
      </c>
      <c r="O111" s="467">
        <f t="shared" si="43"/>
        <v>2.5281039220584563E-2</v>
      </c>
      <c r="P111" s="467">
        <f t="shared" si="43"/>
        <v>3.7414629318024348E-2</v>
      </c>
      <c r="Q111" s="467">
        <f t="shared" si="43"/>
        <v>3.7936571657968689E-2</v>
      </c>
      <c r="R111" s="467">
        <f t="shared" si="43"/>
        <v>3.7953712535769867E-2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456"/>
      <c r="F112" s="69"/>
      <c r="G112" s="447" t="s">
        <v>284</v>
      </c>
      <c r="H112" s="461">
        <f t="shared" ref="H112:R112" si="44">H33/H4</f>
        <v>0.14049067511426597</v>
      </c>
      <c r="I112" s="461">
        <f t="shared" si="44"/>
        <v>0.14752732589901774</v>
      </c>
      <c r="J112" s="461">
        <f t="shared" si="44"/>
        <v>0.14627103637751668</v>
      </c>
      <c r="K112" s="461">
        <f t="shared" si="44"/>
        <v>0.35818716248192639</v>
      </c>
      <c r="L112" s="461">
        <f t="shared" si="44"/>
        <v>0.78138364340055211</v>
      </c>
      <c r="M112" s="461">
        <f t="shared" si="44"/>
        <v>0.39833689712520787</v>
      </c>
      <c r="N112" s="461">
        <f t="shared" si="44"/>
        <v>0.41838822841551354</v>
      </c>
      <c r="O112" s="461">
        <f t="shared" si="44"/>
        <v>0.455355740922473</v>
      </c>
      <c r="P112" s="461">
        <f t="shared" si="44"/>
        <v>0.44859037227838255</v>
      </c>
      <c r="Q112" s="461">
        <f t="shared" si="44"/>
        <v>0.49468515198541729</v>
      </c>
      <c r="R112" s="461">
        <f t="shared" si="44"/>
        <v>0.46303596906451772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456"/>
      <c r="F113" s="69"/>
      <c r="G113" s="186" t="s">
        <v>288</v>
      </c>
      <c r="H113" s="461">
        <f t="shared" ref="H113:R113" si="45">H33/H15</f>
        <v>0.14560053803581152</v>
      </c>
      <c r="I113" s="461">
        <f t="shared" si="45"/>
        <v>0.15326700261147258</v>
      </c>
      <c r="J113" s="461">
        <f t="shared" si="45"/>
        <v>0.15215383948558842</v>
      </c>
      <c r="K113" s="461">
        <f t="shared" si="45"/>
        <v>0.36866851201349016</v>
      </c>
      <c r="L113" s="461">
        <f t="shared" si="45"/>
        <v>0.79678122039781851</v>
      </c>
      <c r="M113" s="461">
        <f t="shared" si="45"/>
        <v>0.41161740155160564</v>
      </c>
      <c r="N113" s="461">
        <f t="shared" si="45"/>
        <v>0.42776726113380492</v>
      </c>
      <c r="O113" s="461">
        <f t="shared" si="45"/>
        <v>0.4636597551836123</v>
      </c>
      <c r="P113" s="461">
        <f t="shared" si="45"/>
        <v>0.45680468672671481</v>
      </c>
      <c r="Q113" s="461">
        <f t="shared" si="45"/>
        <v>0.50386989236250501</v>
      </c>
      <c r="R113" s="461">
        <f t="shared" si="45"/>
        <v>0.47163696854008735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458">
        <v>0.5</v>
      </c>
      <c r="E114" s="458">
        <f>1/3</f>
        <v>0.33333333333333331</v>
      </c>
      <c r="F114" s="69"/>
      <c r="G114" s="18" t="s">
        <v>292</v>
      </c>
      <c r="H114" s="467">
        <f t="shared" ref="H114:R114" si="46">H27/H4</f>
        <v>0.40977520762045855</v>
      </c>
      <c r="I114" s="467">
        <f t="shared" si="46"/>
        <v>0.47512249132196888</v>
      </c>
      <c r="J114" s="467">
        <f t="shared" si="46"/>
        <v>0.54201875312220205</v>
      </c>
      <c r="K114" s="467">
        <f t="shared" si="46"/>
        <v>0.55064826778198162</v>
      </c>
      <c r="L114" s="467">
        <f t="shared" si="46"/>
        <v>0.85891722618375099</v>
      </c>
      <c r="M114" s="467">
        <f t="shared" si="46"/>
        <v>0.85849370396768832</v>
      </c>
      <c r="N114" s="467">
        <f t="shared" si="46"/>
        <v>0.88627947768466186</v>
      </c>
      <c r="O114" s="467">
        <f t="shared" si="46"/>
        <v>0.89459175662414125</v>
      </c>
      <c r="P114" s="467">
        <f t="shared" si="46"/>
        <v>0.88075816242223959</v>
      </c>
      <c r="Q114" s="467">
        <f t="shared" si="46"/>
        <v>0.88914738910237479</v>
      </c>
      <c r="R114" s="467">
        <f t="shared" si="46"/>
        <v>0.89262890644314674</v>
      </c>
    </row>
    <row r="115" spans="1:19" x14ac:dyDescent="0.2">
      <c r="A115" s="77"/>
      <c r="C115" s="77"/>
      <c r="D115" s="78"/>
      <c r="E115" s="79"/>
      <c r="F115" s="69"/>
      <c r="G115" s="445" t="s">
        <v>293</v>
      </c>
      <c r="H115" s="453">
        <f t="shared" ref="H115:R115" si="47">H109</f>
        <v>2011</v>
      </c>
      <c r="I115" s="453">
        <f t="shared" si="47"/>
        <v>2012</v>
      </c>
      <c r="J115" s="453">
        <f t="shared" si="47"/>
        <v>2013</v>
      </c>
      <c r="K115" s="453">
        <f t="shared" si="47"/>
        <v>2014</v>
      </c>
      <c r="L115" s="453">
        <f t="shared" si="47"/>
        <v>2015</v>
      </c>
      <c r="M115" s="453">
        <f t="shared" si="47"/>
        <v>2016</v>
      </c>
      <c r="N115" s="453">
        <f t="shared" si="47"/>
        <v>2017</v>
      </c>
      <c r="O115" s="453">
        <f t="shared" si="47"/>
        <v>2018</v>
      </c>
      <c r="P115" s="453">
        <f t="shared" si="47"/>
        <v>2019</v>
      </c>
      <c r="Q115" s="453">
        <f t="shared" si="47"/>
        <v>2020</v>
      </c>
      <c r="R115" s="453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458">
        <v>0.05</v>
      </c>
      <c r="G116" s="447" t="s">
        <v>297</v>
      </c>
      <c r="H116" s="460">
        <f t="shared" ref="H116:R116" si="48">H35/H33</f>
        <v>0.71614394293010453</v>
      </c>
      <c r="I116" s="460">
        <f t="shared" si="48"/>
        <v>0.74887211539204401</v>
      </c>
      <c r="J116" s="460">
        <f t="shared" si="48"/>
        <v>0.81992935161074842</v>
      </c>
      <c r="K116" s="460">
        <f t="shared" si="48"/>
        <v>0.34662869789913453</v>
      </c>
      <c r="L116" s="460">
        <f t="shared" si="48"/>
        <v>0.21531399646220692</v>
      </c>
      <c r="M116" s="460">
        <f t="shared" si="48"/>
        <v>0.4033162352379816</v>
      </c>
      <c r="N116" s="460">
        <f t="shared" si="48"/>
        <v>0.38430185163619424</v>
      </c>
      <c r="O116" s="460">
        <f t="shared" si="48"/>
        <v>0.41272500983281524</v>
      </c>
      <c r="P116" s="460">
        <f t="shared" si="48"/>
        <v>0.42038064090841848</v>
      </c>
      <c r="Q116" s="460">
        <f t="shared" si="48"/>
        <v>0.39349390545006097</v>
      </c>
      <c r="R116" s="460">
        <f t="shared" si="48"/>
        <v>0.43052008551734028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458">
        <v>0.95</v>
      </c>
      <c r="G117" s="18" t="s">
        <v>301</v>
      </c>
      <c r="H117" s="467">
        <f t="shared" ref="H117:R117" si="49">(H36+H34)/H33</f>
        <v>0.28385317772500407</v>
      </c>
      <c r="I117" s="467">
        <f t="shared" si="49"/>
        <v>0.25079691278382532</v>
      </c>
      <c r="J117" s="467">
        <f t="shared" si="49"/>
        <v>0.18007064838925146</v>
      </c>
      <c r="K117" s="467">
        <f t="shared" si="49"/>
        <v>0.65337130210086547</v>
      </c>
      <c r="L117" s="467">
        <f t="shared" si="49"/>
        <v>0.78447053061180805</v>
      </c>
      <c r="M117" s="467">
        <f t="shared" si="49"/>
        <v>0.59668376476201834</v>
      </c>
      <c r="N117" s="467">
        <f t="shared" si="49"/>
        <v>0.61569814836380576</v>
      </c>
      <c r="O117" s="467">
        <f t="shared" si="49"/>
        <v>0.58727499016718487</v>
      </c>
      <c r="P117" s="467">
        <f t="shared" si="49"/>
        <v>0.57961935909158158</v>
      </c>
      <c r="Q117" s="467">
        <f t="shared" si="49"/>
        <v>0.60650609454993909</v>
      </c>
      <c r="R117" s="467">
        <f t="shared" si="49"/>
        <v>0.56947991448265978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458">
        <v>0.95</v>
      </c>
      <c r="G118" s="186" t="s">
        <v>305</v>
      </c>
      <c r="H118" s="460">
        <f t="shared" ref="H118:R118" si="50">H38/(H38+H41)</f>
        <v>1.9563387975302447E-5</v>
      </c>
      <c r="I118" s="460">
        <f t="shared" si="50"/>
        <v>1.9256598995768361E-5</v>
      </c>
      <c r="J118" s="460">
        <f t="shared" si="50"/>
        <v>1.8586637253313216E-5</v>
      </c>
      <c r="K118" s="460">
        <f t="shared" si="50"/>
        <v>0</v>
      </c>
      <c r="L118" s="460">
        <f t="shared" si="50"/>
        <v>0</v>
      </c>
      <c r="M118" s="460">
        <f t="shared" si="50"/>
        <v>0</v>
      </c>
      <c r="N118" s="460">
        <f t="shared" si="50"/>
        <v>0</v>
      </c>
      <c r="O118" s="460">
        <f t="shared" si="50"/>
        <v>0</v>
      </c>
      <c r="P118" s="460">
        <f t="shared" si="50"/>
        <v>0</v>
      </c>
      <c r="Q118" s="460">
        <f t="shared" si="50"/>
        <v>0</v>
      </c>
      <c r="R118" s="460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445" t="s">
        <v>306</v>
      </c>
      <c r="H119" s="453">
        <f>H115</f>
        <v>2011</v>
      </c>
      <c r="I119" s="453">
        <f t="shared" ref="I119:R119" si="51">I115</f>
        <v>2012</v>
      </c>
      <c r="J119" s="453">
        <f t="shared" si="51"/>
        <v>2013</v>
      </c>
      <c r="K119" s="453">
        <f t="shared" si="51"/>
        <v>2014</v>
      </c>
      <c r="L119" s="453">
        <f t="shared" si="51"/>
        <v>2015</v>
      </c>
      <c r="M119" s="453">
        <f t="shared" si="51"/>
        <v>2016</v>
      </c>
      <c r="N119" s="453">
        <f t="shared" si="51"/>
        <v>2017</v>
      </c>
      <c r="O119" s="453">
        <f t="shared" si="51"/>
        <v>2018</v>
      </c>
      <c r="P119" s="453">
        <f t="shared" si="51"/>
        <v>2019</v>
      </c>
      <c r="Q119" s="453">
        <f t="shared" si="51"/>
        <v>2020</v>
      </c>
      <c r="R119" s="453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468">
        <v>0.5</v>
      </c>
      <c r="E120" s="469" t="s">
        <v>310</v>
      </c>
      <c r="F120" s="4"/>
      <c r="G120" s="447" t="s">
        <v>311</v>
      </c>
      <c r="H120" s="461">
        <f t="shared" ref="H120:R120" si="52">IF(H116&lt;$D$120,$E$120,H35/H4)</f>
        <v>0.10061154602124275</v>
      </c>
      <c r="I120" s="461">
        <f t="shared" si="52"/>
        <v>0.1104791006241289</v>
      </c>
      <c r="J120" s="461">
        <f t="shared" si="52"/>
        <v>0.11993191601644947</v>
      </c>
      <c r="K120" s="461" t="str">
        <f t="shared" si="52"/>
        <v>N/A</v>
      </c>
      <c r="L120" s="461" t="str">
        <f t="shared" si="52"/>
        <v>N/A</v>
      </c>
      <c r="M120" s="461" t="str">
        <f t="shared" si="52"/>
        <v>N/A</v>
      </c>
      <c r="N120" s="461" t="str">
        <f t="shared" si="52"/>
        <v>N/A</v>
      </c>
      <c r="O120" s="461" t="str">
        <f t="shared" si="52"/>
        <v>N/A</v>
      </c>
      <c r="P120" s="461" t="str">
        <f t="shared" si="52"/>
        <v>N/A</v>
      </c>
      <c r="Q120" s="461" t="str">
        <f t="shared" si="52"/>
        <v>N/A</v>
      </c>
      <c r="R120" s="461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468">
        <v>0.5</v>
      </c>
      <c r="E121" s="469" t="s">
        <v>310</v>
      </c>
      <c r="F121" s="4"/>
      <c r="G121" s="18" t="s">
        <v>315</v>
      </c>
      <c r="H121" s="461">
        <f t="shared" ref="H121:R121" si="53">IF(H116&lt;$D$121,$E$121,H35/H15)</f>
        <v>0.10427094340171073</v>
      </c>
      <c r="I121" s="461">
        <f t="shared" si="53"/>
        <v>0.11477738446545142</v>
      </c>
      <c r="J121" s="461">
        <f t="shared" si="53"/>
        <v>0.12475539895450441</v>
      </c>
      <c r="K121" s="461" t="str">
        <f t="shared" si="53"/>
        <v>N/A</v>
      </c>
      <c r="L121" s="461" t="str">
        <f t="shared" si="53"/>
        <v>N/A</v>
      </c>
      <c r="M121" s="461" t="str">
        <f t="shared" si="53"/>
        <v>N/A</v>
      </c>
      <c r="N121" s="461" t="str">
        <f t="shared" si="53"/>
        <v>N/A</v>
      </c>
      <c r="O121" s="461" t="str">
        <f t="shared" si="53"/>
        <v>N/A</v>
      </c>
      <c r="P121" s="461" t="str">
        <f t="shared" si="53"/>
        <v>N/A</v>
      </c>
      <c r="Q121" s="461" t="str">
        <f t="shared" si="53"/>
        <v>N/A</v>
      </c>
      <c r="R121" s="461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468">
        <v>0.5</v>
      </c>
      <c r="E122" s="469" t="s">
        <v>310</v>
      </c>
      <c r="F122" s="4"/>
      <c r="G122" s="447" t="s">
        <v>318</v>
      </c>
      <c r="H122" s="467">
        <f t="shared" ref="H122:R122" si="54">IF(H116&lt;$D$122,$E$122,H46/H33)</f>
        <v>-1.0932306281674795</v>
      </c>
      <c r="I122" s="467">
        <f t="shared" si="54"/>
        <v>-1.054148968223924</v>
      </c>
      <c r="J122" s="467">
        <f t="shared" si="54"/>
        <v>-1.1749307175217161</v>
      </c>
      <c r="K122" s="467" t="str">
        <f t="shared" si="54"/>
        <v>N/A</v>
      </c>
      <c r="L122" s="467" t="str">
        <f t="shared" si="54"/>
        <v>N/A</v>
      </c>
      <c r="M122" s="467" t="str">
        <f t="shared" si="54"/>
        <v>N/A</v>
      </c>
      <c r="N122" s="467" t="str">
        <f t="shared" si="54"/>
        <v>N/A</v>
      </c>
      <c r="O122" s="467" t="str">
        <f t="shared" si="54"/>
        <v>N/A</v>
      </c>
      <c r="P122" s="467" t="str">
        <f t="shared" si="54"/>
        <v>N/A</v>
      </c>
      <c r="Q122" s="467" t="str">
        <f t="shared" si="54"/>
        <v>N/A</v>
      </c>
      <c r="R122" s="467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468">
        <v>0.5</v>
      </c>
      <c r="E123" s="469" t="s">
        <v>310</v>
      </c>
      <c r="F123" s="4"/>
      <c r="G123" s="18" t="s">
        <v>322</v>
      </c>
      <c r="H123" s="467">
        <f t="shared" ref="H123:R123" si="55">IF(H116&lt;$D$122,$E$123,H51/H33)</f>
        <v>-1.2717429730387746</v>
      </c>
      <c r="I123" s="467">
        <f t="shared" si="55"/>
        <v>-1.2375796719639676</v>
      </c>
      <c r="J123" s="467">
        <f t="shared" si="55"/>
        <v>-1.3479349478979969</v>
      </c>
      <c r="K123" s="467" t="str">
        <f t="shared" si="55"/>
        <v>N/A</v>
      </c>
      <c r="L123" s="467" t="str">
        <f t="shared" si="55"/>
        <v>N/A</v>
      </c>
      <c r="M123" s="467" t="str">
        <f t="shared" si="55"/>
        <v>N/A</v>
      </c>
      <c r="N123" s="467" t="str">
        <f t="shared" si="55"/>
        <v>N/A</v>
      </c>
      <c r="O123" s="467" t="str">
        <f t="shared" si="55"/>
        <v>N/A</v>
      </c>
      <c r="P123" s="467" t="str">
        <f t="shared" si="55"/>
        <v>N/A</v>
      </c>
      <c r="Q123" s="467" t="str">
        <f t="shared" si="55"/>
        <v>N/A</v>
      </c>
      <c r="R123" s="467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468">
        <v>0.5</v>
      </c>
      <c r="E124" s="469" t="s">
        <v>310</v>
      </c>
      <c r="F124" s="4"/>
      <c r="G124" s="18" t="s">
        <v>326</v>
      </c>
      <c r="H124" s="467">
        <f t="shared" ref="H124:R124" si="56">IF(H116&lt;$D$124,$E$124,H51/H4)</f>
        <v>-0.17866802885404118</v>
      </c>
      <c r="I124" s="467">
        <f t="shared" si="56"/>
        <v>-0.1825768195918277</v>
      </c>
      <c r="J124" s="467">
        <f t="shared" si="56"/>
        <v>-0.19716384179851398</v>
      </c>
      <c r="K124" s="467" t="str">
        <f t="shared" si="56"/>
        <v>N/A</v>
      </c>
      <c r="L124" s="467" t="str">
        <f t="shared" si="56"/>
        <v>N/A</v>
      </c>
      <c r="M124" s="467" t="str">
        <f t="shared" si="56"/>
        <v>N/A</v>
      </c>
      <c r="N124" s="467" t="str">
        <f t="shared" si="56"/>
        <v>N/A</v>
      </c>
      <c r="O124" s="467" t="str">
        <f t="shared" si="56"/>
        <v>N/A</v>
      </c>
      <c r="P124" s="467" t="str">
        <f t="shared" si="56"/>
        <v>N/A</v>
      </c>
      <c r="Q124" s="467" t="str">
        <f t="shared" si="56"/>
        <v>N/A</v>
      </c>
      <c r="R124" s="467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468">
        <v>0.5</v>
      </c>
      <c r="E125" s="469" t="s">
        <v>310</v>
      </c>
      <c r="F125" s="4"/>
      <c r="G125" s="186" t="s">
        <v>330</v>
      </c>
      <c r="H125" s="467">
        <f t="shared" ref="H125:R125" si="57">IF(H116&lt;$D$125,$E$125,H51/H27)</f>
        <v>-0.43601473571706867</v>
      </c>
      <c r="I125" s="467">
        <f t="shared" si="57"/>
        <v>-0.38427315676812213</v>
      </c>
      <c r="J125" s="467">
        <f t="shared" si="57"/>
        <v>-0.36375833984117145</v>
      </c>
      <c r="K125" s="467" t="str">
        <f t="shared" si="57"/>
        <v>N/A</v>
      </c>
      <c r="L125" s="467" t="str">
        <f t="shared" si="57"/>
        <v>N/A</v>
      </c>
      <c r="M125" s="467" t="str">
        <f t="shared" si="57"/>
        <v>N/A</v>
      </c>
      <c r="N125" s="467" t="str">
        <f t="shared" si="57"/>
        <v>N/A</v>
      </c>
      <c r="O125" s="467" t="str">
        <f t="shared" si="57"/>
        <v>N/A</v>
      </c>
      <c r="P125" s="467" t="str">
        <f t="shared" si="57"/>
        <v>N/A</v>
      </c>
      <c r="Q125" s="467" t="str">
        <f t="shared" si="57"/>
        <v>N/A</v>
      </c>
      <c r="R125" s="467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453">
        <f>H119</f>
        <v>2011</v>
      </c>
      <c r="I127" s="453">
        <f t="shared" ref="I127:R127" si="58">I119</f>
        <v>2012</v>
      </c>
      <c r="J127" s="453">
        <f t="shared" si="58"/>
        <v>2013</v>
      </c>
      <c r="K127" s="453">
        <f t="shared" si="58"/>
        <v>2014</v>
      </c>
      <c r="L127" s="453">
        <f t="shared" si="58"/>
        <v>2015</v>
      </c>
      <c r="M127" s="453">
        <f t="shared" si="58"/>
        <v>2016</v>
      </c>
      <c r="N127" s="453">
        <f t="shared" si="58"/>
        <v>2017</v>
      </c>
      <c r="O127" s="453">
        <f t="shared" si="58"/>
        <v>2018</v>
      </c>
      <c r="P127" s="453">
        <f t="shared" si="58"/>
        <v>2019</v>
      </c>
      <c r="Q127" s="453">
        <f t="shared" si="58"/>
        <v>2020</v>
      </c>
      <c r="R127" s="453">
        <f t="shared" si="58"/>
        <v>2021</v>
      </c>
    </row>
    <row r="128" spans="1:19" x14ac:dyDescent="0.2">
      <c r="G128" s="470" t="s">
        <v>331</v>
      </c>
      <c r="H128" s="471">
        <f t="shared" ref="H128:R128" si="59">H33</f>
        <v>3125.7109999999998</v>
      </c>
      <c r="I128" s="471">
        <f t="shared" si="59"/>
        <v>3235.9249999999997</v>
      </c>
      <c r="J128" s="471">
        <f t="shared" si="59"/>
        <v>3166.3850000000002</v>
      </c>
      <c r="K128" s="471">
        <f t="shared" si="59"/>
        <v>7729.8620000000001</v>
      </c>
      <c r="L128" s="471">
        <f t="shared" si="59"/>
        <v>16447.542000000001</v>
      </c>
      <c r="M128" s="471">
        <f t="shared" si="59"/>
        <v>8383</v>
      </c>
      <c r="N128" s="471">
        <f t="shared" si="59"/>
        <v>8587</v>
      </c>
      <c r="O128" s="471">
        <f t="shared" si="59"/>
        <v>9280.15</v>
      </c>
      <c r="P128" s="471">
        <f t="shared" si="59"/>
        <v>9230.1954999999998</v>
      </c>
      <c r="Q128" s="471">
        <f t="shared" si="59"/>
        <v>10041.119215000001</v>
      </c>
      <c r="R128" s="471">
        <f t="shared" si="59"/>
        <v>9394.5367763499999</v>
      </c>
    </row>
    <row r="129" spans="3:19" x14ac:dyDescent="0.2">
      <c r="G129" s="470" t="s">
        <v>332</v>
      </c>
      <c r="H129" s="471">
        <f t="shared" ref="H129:R130" si="60">H35</f>
        <v>2238.4589999999998</v>
      </c>
      <c r="I129" s="471">
        <f t="shared" si="60"/>
        <v>2423.2939999999999</v>
      </c>
      <c r="J129" s="471">
        <f t="shared" si="60"/>
        <v>2596.212</v>
      </c>
      <c r="K129" s="471">
        <f t="shared" si="60"/>
        <v>2679.3919999999998</v>
      </c>
      <c r="L129" s="471">
        <f t="shared" si="60"/>
        <v>3541.386</v>
      </c>
      <c r="M129" s="471">
        <f t="shared" si="60"/>
        <v>3381</v>
      </c>
      <c r="N129" s="471">
        <f t="shared" si="60"/>
        <v>3300</v>
      </c>
      <c r="O129" s="471">
        <f t="shared" si="60"/>
        <v>3830.15</v>
      </c>
      <c r="P129" s="471">
        <f t="shared" si="60"/>
        <v>3880.1955000000003</v>
      </c>
      <c r="Q129" s="471">
        <f t="shared" si="60"/>
        <v>3951.1192150000006</v>
      </c>
      <c r="R129" s="471">
        <f t="shared" si="60"/>
        <v>4044.5367763500003</v>
      </c>
    </row>
    <row r="130" spans="3:19" x14ac:dyDescent="0.2">
      <c r="G130" s="470" t="s">
        <v>333</v>
      </c>
      <c r="H130" s="471">
        <f t="shared" si="60"/>
        <v>887.24300000000005</v>
      </c>
      <c r="I130" s="471">
        <f t="shared" si="60"/>
        <v>811.56</v>
      </c>
      <c r="J130" s="471">
        <f t="shared" si="60"/>
        <v>570.173</v>
      </c>
      <c r="K130" s="471">
        <f t="shared" si="60"/>
        <v>5050.47</v>
      </c>
      <c r="L130" s="471">
        <f t="shared" si="60"/>
        <v>12902.611999999999</v>
      </c>
      <c r="M130" s="471">
        <f t="shared" si="60"/>
        <v>5002</v>
      </c>
      <c r="N130" s="471">
        <f t="shared" si="60"/>
        <v>5287</v>
      </c>
      <c r="O130" s="471">
        <f t="shared" si="60"/>
        <v>5450</v>
      </c>
      <c r="P130" s="471">
        <f t="shared" si="60"/>
        <v>5350</v>
      </c>
      <c r="Q130" s="471">
        <f t="shared" si="60"/>
        <v>6090</v>
      </c>
      <c r="R130" s="471">
        <f t="shared" si="60"/>
        <v>5350</v>
      </c>
    </row>
    <row r="131" spans="3:19" x14ac:dyDescent="0.2">
      <c r="G131" s="470" t="s">
        <v>334</v>
      </c>
      <c r="H131" s="471">
        <f t="shared" ref="H131:R131" si="61">H38+H41</f>
        <v>-6542.8339999999998</v>
      </c>
      <c r="I131" s="471">
        <f t="shared" si="61"/>
        <v>-6647.0720000000001</v>
      </c>
      <c r="J131" s="471">
        <f t="shared" si="61"/>
        <v>-6886.6679999999988</v>
      </c>
      <c r="K131" s="471">
        <f t="shared" si="61"/>
        <v>-7409.9319999999998</v>
      </c>
      <c r="L131" s="471">
        <f t="shared" si="61"/>
        <v>-9158.6330000000016</v>
      </c>
      <c r="M131" s="471">
        <f t="shared" si="61"/>
        <v>-8133</v>
      </c>
      <c r="N131" s="471">
        <f t="shared" si="61"/>
        <v>-8199</v>
      </c>
      <c r="O131" s="471">
        <f t="shared" si="61"/>
        <v>-8973.369999999999</v>
      </c>
      <c r="P131" s="471">
        <f t="shared" si="61"/>
        <v>-9074.4955499999996</v>
      </c>
      <c r="Q131" s="471">
        <f t="shared" si="61"/>
        <v>-9193.6854609999991</v>
      </c>
      <c r="R131" s="471">
        <f t="shared" si="61"/>
        <v>-9331.9025975249988</v>
      </c>
    </row>
    <row r="132" spans="3:19" x14ac:dyDescent="0.2">
      <c r="G132" s="470" t="s">
        <v>335</v>
      </c>
      <c r="H132" s="471">
        <f t="shared" ref="H132:R132" si="62">H41</f>
        <v>-6542.7060000000001</v>
      </c>
      <c r="I132" s="471">
        <f t="shared" si="62"/>
        <v>-6646.9440000000004</v>
      </c>
      <c r="J132" s="471">
        <f t="shared" si="62"/>
        <v>-6886.5399999999991</v>
      </c>
      <c r="K132" s="471">
        <f t="shared" si="62"/>
        <v>-7409.9319999999998</v>
      </c>
      <c r="L132" s="471">
        <f t="shared" si="62"/>
        <v>-9158.6330000000016</v>
      </c>
      <c r="M132" s="471">
        <f t="shared" si="62"/>
        <v>-8133</v>
      </c>
      <c r="N132" s="471">
        <f t="shared" si="62"/>
        <v>-8199</v>
      </c>
      <c r="O132" s="471">
        <f t="shared" si="62"/>
        <v>-8973.369999999999</v>
      </c>
      <c r="P132" s="471">
        <f t="shared" si="62"/>
        <v>-9074.4955499999996</v>
      </c>
      <c r="Q132" s="471">
        <f t="shared" si="62"/>
        <v>-9193.6854609999991</v>
      </c>
      <c r="R132" s="471">
        <f t="shared" si="62"/>
        <v>-9331.9025975249988</v>
      </c>
    </row>
    <row r="133" spans="3:19" x14ac:dyDescent="0.2">
      <c r="G133" s="470" t="s">
        <v>336</v>
      </c>
      <c r="H133" s="471">
        <f t="shared" ref="H133:R133" si="63">H38</f>
        <v>-0.128</v>
      </c>
      <c r="I133" s="471">
        <f t="shared" si="63"/>
        <v>-0.128</v>
      </c>
      <c r="J133" s="471">
        <f t="shared" si="63"/>
        <v>-0.128</v>
      </c>
      <c r="K133" s="471">
        <f t="shared" si="63"/>
        <v>0</v>
      </c>
      <c r="L133" s="471">
        <f t="shared" si="63"/>
        <v>0</v>
      </c>
      <c r="M133" s="471">
        <f t="shared" si="63"/>
        <v>0</v>
      </c>
      <c r="N133" s="471">
        <f t="shared" si="63"/>
        <v>0</v>
      </c>
      <c r="O133" s="471">
        <f t="shared" si="63"/>
        <v>0</v>
      </c>
      <c r="P133" s="471">
        <f t="shared" si="63"/>
        <v>0</v>
      </c>
      <c r="Q133" s="471">
        <f t="shared" si="63"/>
        <v>0</v>
      </c>
      <c r="R133" s="471">
        <f t="shared" si="63"/>
        <v>0</v>
      </c>
    </row>
    <row r="134" spans="3:19" x14ac:dyDescent="0.2">
      <c r="G134" s="470" t="s">
        <v>337</v>
      </c>
      <c r="H134" s="471">
        <f t="shared" ref="H134:R134" si="64">H46</f>
        <v>-3417.1230000000005</v>
      </c>
      <c r="I134" s="471">
        <f t="shared" si="64"/>
        <v>-3411.1470000000008</v>
      </c>
      <c r="J134" s="471">
        <f t="shared" si="64"/>
        <v>-3720.282999999999</v>
      </c>
      <c r="K134" s="471">
        <f t="shared" si="64"/>
        <v>319.93000000000029</v>
      </c>
      <c r="L134" s="471">
        <f t="shared" si="64"/>
        <v>7288.9089999999997</v>
      </c>
      <c r="M134" s="471">
        <f t="shared" si="64"/>
        <v>250</v>
      </c>
      <c r="N134" s="471">
        <f t="shared" si="64"/>
        <v>388</v>
      </c>
      <c r="O134" s="471">
        <f t="shared" si="64"/>
        <v>306.78000000000065</v>
      </c>
      <c r="P134" s="471">
        <f t="shared" si="64"/>
        <v>155.69995000000017</v>
      </c>
      <c r="Q134" s="471">
        <f t="shared" si="64"/>
        <v>847.4337540000015</v>
      </c>
      <c r="R134" s="471">
        <f t="shared" si="64"/>
        <v>62.634178825001072</v>
      </c>
    </row>
    <row r="135" spans="3:19" x14ac:dyDescent="0.2">
      <c r="G135" s="470" t="s">
        <v>338</v>
      </c>
      <c r="H135" s="471">
        <f t="shared" ref="H135:R135" si="65">H51</f>
        <v>-3975.1010000000006</v>
      </c>
      <c r="I135" s="471">
        <f t="shared" si="65"/>
        <v>-4004.7150000000011</v>
      </c>
      <c r="J135" s="471">
        <f t="shared" si="65"/>
        <v>-4268.0809999999992</v>
      </c>
      <c r="K135" s="471">
        <f t="shared" si="65"/>
        <v>-221.51899999999966</v>
      </c>
      <c r="L135" s="471">
        <f t="shared" si="65"/>
        <v>6196.2939999999999</v>
      </c>
      <c r="M135" s="471">
        <f t="shared" si="65"/>
        <v>-13</v>
      </c>
      <c r="N135" s="471">
        <f t="shared" si="65"/>
        <v>123</v>
      </c>
      <c r="O135" s="471">
        <f t="shared" si="65"/>
        <v>41.780000000000655</v>
      </c>
      <c r="P135" s="471">
        <f t="shared" si="65"/>
        <v>-109.30004999999983</v>
      </c>
      <c r="Q135" s="471">
        <f t="shared" si="65"/>
        <v>-74.5662459999985</v>
      </c>
      <c r="R135" s="471">
        <f t="shared" si="65"/>
        <v>62.634178825001072</v>
      </c>
    </row>
    <row r="136" spans="3:19" x14ac:dyDescent="0.2">
      <c r="G136" s="470" t="s">
        <v>339</v>
      </c>
      <c r="H136" s="471">
        <f t="shared" ref="H136:R137" si="66">H4</f>
        <v>22248.53</v>
      </c>
      <c r="I136" s="471">
        <f t="shared" si="66"/>
        <v>21934.411</v>
      </c>
      <c r="J136" s="471">
        <f t="shared" si="66"/>
        <v>21647.382000000001</v>
      </c>
      <c r="K136" s="471">
        <f t="shared" si="66"/>
        <v>21580.511000000002</v>
      </c>
      <c r="L136" s="471">
        <f t="shared" si="66"/>
        <v>21049.253000000001</v>
      </c>
      <c r="M136" s="471">
        <f t="shared" si="66"/>
        <v>21045</v>
      </c>
      <c r="N136" s="471">
        <f t="shared" si="66"/>
        <v>20524</v>
      </c>
      <c r="O136" s="471">
        <f t="shared" si="66"/>
        <v>20380</v>
      </c>
      <c r="P136" s="471">
        <f t="shared" si="66"/>
        <v>20576</v>
      </c>
      <c r="Q136" s="471">
        <f t="shared" si="66"/>
        <v>20298</v>
      </c>
      <c r="R136" s="471">
        <f t="shared" si="66"/>
        <v>20289</v>
      </c>
    </row>
    <row r="137" spans="3:19" x14ac:dyDescent="0.2">
      <c r="G137" s="470" t="s">
        <v>340</v>
      </c>
      <c r="H137" s="471">
        <f t="shared" si="66"/>
        <v>227.83799999999999</v>
      </c>
      <c r="I137" s="471">
        <f t="shared" si="66"/>
        <v>280.05399999999997</v>
      </c>
      <c r="J137" s="471">
        <f t="shared" si="66"/>
        <v>307.20999999999998</v>
      </c>
      <c r="K137" s="471">
        <f t="shared" si="66"/>
        <v>613.54000000000008</v>
      </c>
      <c r="L137" s="471">
        <f t="shared" si="66"/>
        <v>406.77099999999996</v>
      </c>
      <c r="M137" s="471">
        <f t="shared" si="66"/>
        <v>679</v>
      </c>
      <c r="N137" s="471">
        <f t="shared" si="66"/>
        <v>450</v>
      </c>
      <c r="O137" s="471">
        <f t="shared" si="66"/>
        <v>365</v>
      </c>
      <c r="P137" s="471">
        <f t="shared" si="66"/>
        <v>370</v>
      </c>
      <c r="Q137" s="471">
        <f t="shared" si="66"/>
        <v>370</v>
      </c>
      <c r="R137" s="471">
        <f t="shared" si="66"/>
        <v>370</v>
      </c>
    </row>
    <row r="138" spans="3:19" x14ac:dyDescent="0.2">
      <c r="G138" s="470" t="s">
        <v>341</v>
      </c>
      <c r="H138" s="471">
        <f t="shared" ref="H138:R138" si="67">H10</f>
        <v>22020.691999999999</v>
      </c>
      <c r="I138" s="471">
        <f t="shared" si="67"/>
        <v>21654.357</v>
      </c>
      <c r="J138" s="471">
        <f t="shared" si="67"/>
        <v>21340.172000000002</v>
      </c>
      <c r="K138" s="471">
        <f t="shared" si="67"/>
        <v>20966.971000000001</v>
      </c>
      <c r="L138" s="471">
        <f t="shared" si="67"/>
        <v>20642.482</v>
      </c>
      <c r="M138" s="471">
        <f t="shared" si="67"/>
        <v>20366</v>
      </c>
      <c r="N138" s="471">
        <f t="shared" si="67"/>
        <v>20074</v>
      </c>
      <c r="O138" s="471">
        <f t="shared" si="67"/>
        <v>20015</v>
      </c>
      <c r="P138" s="471">
        <f t="shared" si="67"/>
        <v>20206</v>
      </c>
      <c r="Q138" s="471">
        <f t="shared" si="67"/>
        <v>19928</v>
      </c>
      <c r="R138" s="471">
        <f t="shared" si="67"/>
        <v>19919</v>
      </c>
    </row>
    <row r="139" spans="3:19" x14ac:dyDescent="0.2">
      <c r="G139" s="470" t="s">
        <v>342</v>
      </c>
      <c r="H139" s="471">
        <f t="shared" ref="H139:R140" si="68">H19</f>
        <v>13131.633000000002</v>
      </c>
      <c r="I139" s="471">
        <f t="shared" si="68"/>
        <v>11512.879000000001</v>
      </c>
      <c r="J139" s="471">
        <f t="shared" si="68"/>
        <v>9914.094000000001</v>
      </c>
      <c r="K139" s="471">
        <f t="shared" si="68"/>
        <v>9697.2379999999994</v>
      </c>
      <c r="L139" s="471">
        <f t="shared" si="68"/>
        <v>2969.6860000000001</v>
      </c>
      <c r="M139" s="471">
        <f t="shared" si="68"/>
        <v>2978</v>
      </c>
      <c r="N139" s="471">
        <f t="shared" si="68"/>
        <v>2334</v>
      </c>
      <c r="O139" s="471">
        <f t="shared" si="68"/>
        <v>2148</v>
      </c>
      <c r="P139" s="471">
        <f t="shared" si="68"/>
        <v>2454</v>
      </c>
      <c r="Q139" s="471">
        <f t="shared" si="68"/>
        <v>2250</v>
      </c>
      <c r="R139" s="471">
        <f t="shared" si="68"/>
        <v>2178</v>
      </c>
    </row>
    <row r="140" spans="3:19" x14ac:dyDescent="0.2">
      <c r="G140" s="470" t="s">
        <v>343</v>
      </c>
      <c r="H140" s="471">
        <f t="shared" si="68"/>
        <v>2546.424</v>
      </c>
      <c r="I140" s="471">
        <f t="shared" si="68"/>
        <v>2172.317</v>
      </c>
      <c r="J140" s="471">
        <f t="shared" si="68"/>
        <v>1384.2280000000001</v>
      </c>
      <c r="K140" s="471">
        <f t="shared" si="68"/>
        <v>1961.519</v>
      </c>
      <c r="L140" s="471">
        <f t="shared" si="68"/>
        <v>1420.402</v>
      </c>
      <c r="M140" s="471">
        <f t="shared" si="68"/>
        <v>1803</v>
      </c>
      <c r="N140" s="471">
        <f t="shared" si="68"/>
        <v>1800</v>
      </c>
      <c r="O140" s="471">
        <f t="shared" si="68"/>
        <v>1800</v>
      </c>
      <c r="P140" s="471">
        <f t="shared" si="68"/>
        <v>2250</v>
      </c>
      <c r="Q140" s="471">
        <f t="shared" si="68"/>
        <v>2250</v>
      </c>
      <c r="R140" s="471">
        <f t="shared" si="68"/>
        <v>2250</v>
      </c>
    </row>
    <row r="141" spans="3:19" x14ac:dyDescent="0.2">
      <c r="G141" s="470" t="s">
        <v>344</v>
      </c>
      <c r="H141" s="471">
        <f t="shared" ref="H141:R141" si="69">H24</f>
        <v>12175.426000000001</v>
      </c>
      <c r="I141" s="471">
        <f t="shared" si="69"/>
        <v>10585.209000000001</v>
      </c>
      <c r="J141" s="471">
        <f t="shared" si="69"/>
        <v>8922.2860000000001</v>
      </c>
      <c r="K141" s="471">
        <f t="shared" si="69"/>
        <v>8529.866</v>
      </c>
      <c r="L141" s="471">
        <f t="shared" si="69"/>
        <v>1923.5030000000002</v>
      </c>
      <c r="M141" s="471">
        <f t="shared" si="69"/>
        <v>1549</v>
      </c>
      <c r="N141" s="471">
        <f t="shared" si="69"/>
        <v>1175</v>
      </c>
      <c r="O141" s="471">
        <f t="shared" si="69"/>
        <v>801</v>
      </c>
      <c r="P141" s="471">
        <f t="shared" si="69"/>
        <v>457</v>
      </c>
      <c r="Q141" s="471">
        <f t="shared" si="69"/>
        <v>0</v>
      </c>
      <c r="R141" s="471">
        <f t="shared" si="69"/>
        <v>0</v>
      </c>
    </row>
    <row r="142" spans="3:19" x14ac:dyDescent="0.2">
      <c r="G142" s="470" t="s">
        <v>345</v>
      </c>
      <c r="H142" s="471">
        <f t="shared" ref="H142:R142" si="70">H27</f>
        <v>9116.8960000000006</v>
      </c>
      <c r="I142" s="471">
        <f t="shared" si="70"/>
        <v>10421.531999999999</v>
      </c>
      <c r="J142" s="471">
        <f t="shared" si="70"/>
        <v>11733.287</v>
      </c>
      <c r="K142" s="471">
        <f t="shared" si="70"/>
        <v>11883.271000000001</v>
      </c>
      <c r="L142" s="471">
        <f t="shared" si="70"/>
        <v>18079.565999999999</v>
      </c>
      <c r="M142" s="471">
        <f t="shared" si="70"/>
        <v>18067</v>
      </c>
      <c r="N142" s="471">
        <f t="shared" si="70"/>
        <v>18190</v>
      </c>
      <c r="O142" s="471">
        <f t="shared" si="70"/>
        <v>18231.78</v>
      </c>
      <c r="P142" s="471">
        <f t="shared" si="70"/>
        <v>18122.479950000001</v>
      </c>
      <c r="Q142" s="471">
        <f t="shared" si="70"/>
        <v>18047.913704000002</v>
      </c>
      <c r="R142" s="471">
        <f t="shared" si="70"/>
        <v>18110.547882825005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391" priority="51" stopIfTrue="1" operator="greaterThan">
      <formula>$E$116</formula>
    </cfRule>
    <cfRule type="cellIs" dxfId="1390" priority="52" stopIfTrue="1" operator="lessThanOrEqual">
      <formula>$E$116</formula>
    </cfRule>
  </conditionalFormatting>
  <conditionalFormatting sqref="H118:Q118">
    <cfRule type="cellIs" dxfId="1389" priority="49" stopIfTrue="1" operator="lessThanOrEqual">
      <formula>$E$118</formula>
    </cfRule>
    <cfRule type="cellIs" dxfId="1388" priority="50" stopIfTrue="1" operator="greaterThan">
      <formula>$E$118</formula>
    </cfRule>
  </conditionalFormatting>
  <conditionalFormatting sqref="H99:Q99">
    <cfRule type="cellIs" dxfId="1387" priority="47" operator="greaterThan">
      <formula>$E$99</formula>
    </cfRule>
    <cfRule type="cellIs" dxfId="1386" priority="48" operator="lessThanOrEqual">
      <formula>$E$99</formula>
    </cfRule>
  </conditionalFormatting>
  <conditionalFormatting sqref="H102:Q102">
    <cfRule type="cellIs" dxfId="1385" priority="45" stopIfTrue="1" operator="greaterThanOrEqual">
      <formula>$E$102</formula>
    </cfRule>
    <cfRule type="cellIs" dxfId="1384" priority="46" stopIfTrue="1" operator="lessThan">
      <formula>$E$102</formula>
    </cfRule>
  </conditionalFormatting>
  <conditionalFormatting sqref="H104:Q104">
    <cfRule type="cellIs" dxfId="1383" priority="43" stopIfTrue="1" operator="lessThan">
      <formula>$E$104</formula>
    </cfRule>
    <cfRule type="cellIs" dxfId="1382" priority="44" stopIfTrue="1" operator="greaterThanOrEqual">
      <formula>$E$104</formula>
    </cfRule>
  </conditionalFormatting>
  <conditionalFormatting sqref="H103:Q103">
    <cfRule type="cellIs" dxfId="1381" priority="41" stopIfTrue="1" operator="greaterThan">
      <formula>$E$103</formula>
    </cfRule>
    <cfRule type="cellIs" dxfId="1380" priority="42" stopIfTrue="1" operator="lessThanOrEqual">
      <formula>$E$103</formula>
    </cfRule>
  </conditionalFormatting>
  <conditionalFormatting sqref="H100:Q100">
    <cfRule type="cellIs" dxfId="1379" priority="30" stopIfTrue="1" operator="between">
      <formula>$D$100</formula>
      <formula>$E$100</formula>
    </cfRule>
    <cfRule type="cellIs" dxfId="1378" priority="39" stopIfTrue="1" operator="lessThanOrEqual">
      <formula>$D$100</formula>
    </cfRule>
    <cfRule type="cellIs" dxfId="1377" priority="40" stopIfTrue="1" operator="greaterThan">
      <formula>$E$100</formula>
    </cfRule>
  </conditionalFormatting>
  <conditionalFormatting sqref="H117:Q117">
    <cfRule type="cellIs" dxfId="1376" priority="37" stopIfTrue="1" operator="greaterThan">
      <formula>$E$117</formula>
    </cfRule>
    <cfRule type="cellIs" dxfId="1375" priority="38" stopIfTrue="1" operator="lessThanOrEqual">
      <formula>$E$117</formula>
    </cfRule>
  </conditionalFormatting>
  <conditionalFormatting sqref="H107:Q107">
    <cfRule type="cellIs" dxfId="1374" priority="35" stopIfTrue="1" operator="greaterThan">
      <formula>$E$107</formula>
    </cfRule>
    <cfRule type="cellIs" dxfId="1373" priority="36" stopIfTrue="1" operator="lessThanOrEqual">
      <formula>$E$107</formula>
    </cfRule>
  </conditionalFormatting>
  <conditionalFormatting sqref="H108:Q108">
    <cfRule type="cellIs" dxfId="1372" priority="33" stopIfTrue="1" operator="lessThan">
      <formula>$E$108</formula>
    </cfRule>
    <cfRule type="cellIs" dxfId="1371" priority="34" stopIfTrue="1" operator="greaterThanOrEqual">
      <formula>$E$108</formula>
    </cfRule>
  </conditionalFormatting>
  <conditionalFormatting sqref="H93:Q93">
    <cfRule type="cellIs" dxfId="1370" priority="53" stopIfTrue="1" operator="lessThan">
      <formula>$D$93</formula>
    </cfRule>
    <cfRule type="cellIs" dxfId="1369" priority="54" stopIfTrue="1" operator="between">
      <formula>$D$93</formula>
      <formula>$E$93</formula>
    </cfRule>
    <cfRule type="cellIs" dxfId="1368" priority="55" stopIfTrue="1" operator="greaterThan">
      <formula>$E$93</formula>
    </cfRule>
  </conditionalFormatting>
  <conditionalFormatting sqref="H114:Q114">
    <cfRule type="cellIs" dxfId="1367" priority="56" stopIfTrue="1" operator="lessThan">
      <formula>$E$114</formula>
    </cfRule>
    <cfRule type="cellIs" dxfId="1366" priority="57" stopIfTrue="1" operator="between">
      <formula>$D$114</formula>
      <formula>$E$114</formula>
    </cfRule>
    <cfRule type="cellIs" dxfId="1365" priority="58" stopIfTrue="1" operator="greaterThanOrEqual">
      <formula>$D$114</formula>
    </cfRule>
  </conditionalFormatting>
  <conditionalFormatting sqref="H90:Q90">
    <cfRule type="cellIs" dxfId="1364" priority="31" stopIfTrue="1" operator="lessThan">
      <formula>$E$90</formula>
    </cfRule>
    <cfRule type="cellIs" dxfId="1363" priority="32" stopIfTrue="1" operator="greaterThan">
      <formula>$E$90</formula>
    </cfRule>
  </conditionalFormatting>
  <conditionalFormatting sqref="R116">
    <cfRule type="cellIs" dxfId="1362" priority="22" stopIfTrue="1" operator="greaterThan">
      <formula>$E$116</formula>
    </cfRule>
    <cfRule type="cellIs" dxfId="1361" priority="23" stopIfTrue="1" operator="lessThanOrEqual">
      <formula>$E$116</formula>
    </cfRule>
  </conditionalFormatting>
  <conditionalFormatting sqref="R118">
    <cfRule type="cellIs" dxfId="1360" priority="20" stopIfTrue="1" operator="lessThanOrEqual">
      <formula>$E$118</formula>
    </cfRule>
    <cfRule type="cellIs" dxfId="1359" priority="21" stopIfTrue="1" operator="greaterThan">
      <formula>$E$118</formula>
    </cfRule>
  </conditionalFormatting>
  <conditionalFormatting sqref="R99">
    <cfRule type="cellIs" dxfId="1358" priority="18" operator="greaterThan">
      <formula>$E$99</formula>
    </cfRule>
    <cfRule type="cellIs" dxfId="1357" priority="19" operator="lessThanOrEqual">
      <formula>$E$99</formula>
    </cfRule>
  </conditionalFormatting>
  <conditionalFormatting sqref="R102">
    <cfRule type="cellIs" dxfId="1356" priority="16" stopIfTrue="1" operator="greaterThanOrEqual">
      <formula>$E$102</formula>
    </cfRule>
    <cfRule type="cellIs" dxfId="1355" priority="17" stopIfTrue="1" operator="lessThan">
      <formula>$E$102</formula>
    </cfRule>
  </conditionalFormatting>
  <conditionalFormatting sqref="R104">
    <cfRule type="cellIs" dxfId="1354" priority="14" stopIfTrue="1" operator="lessThan">
      <formula>$E$104</formula>
    </cfRule>
    <cfRule type="cellIs" dxfId="1353" priority="15" stopIfTrue="1" operator="greaterThanOrEqual">
      <formula>$E$104</formula>
    </cfRule>
  </conditionalFormatting>
  <conditionalFormatting sqref="R103">
    <cfRule type="cellIs" dxfId="1352" priority="12" stopIfTrue="1" operator="greaterThan">
      <formula>$E$103</formula>
    </cfRule>
    <cfRule type="cellIs" dxfId="1351" priority="13" stopIfTrue="1" operator="lessThanOrEqual">
      <formula>$E$103</formula>
    </cfRule>
  </conditionalFormatting>
  <conditionalFormatting sqref="R100">
    <cfRule type="cellIs" dxfId="1350" priority="1" stopIfTrue="1" operator="between">
      <formula>$D$100</formula>
      <formula>$E$100</formula>
    </cfRule>
    <cfRule type="cellIs" dxfId="1349" priority="10" stopIfTrue="1" operator="lessThanOrEqual">
      <formula>$D$100</formula>
    </cfRule>
    <cfRule type="cellIs" dxfId="1348" priority="11" stopIfTrue="1" operator="greaterThan">
      <formula>$E$100</formula>
    </cfRule>
  </conditionalFormatting>
  <conditionalFormatting sqref="R117">
    <cfRule type="cellIs" dxfId="1347" priority="8" stopIfTrue="1" operator="greaterThan">
      <formula>$E$117</formula>
    </cfRule>
    <cfRule type="cellIs" dxfId="1346" priority="9" stopIfTrue="1" operator="lessThanOrEqual">
      <formula>$E$117</formula>
    </cfRule>
  </conditionalFormatting>
  <conditionalFormatting sqref="R107">
    <cfRule type="cellIs" dxfId="1345" priority="6" stopIfTrue="1" operator="greaterThan">
      <formula>$E$107</formula>
    </cfRule>
    <cfRule type="cellIs" dxfId="1344" priority="7" stopIfTrue="1" operator="lessThanOrEqual">
      <formula>$E$107</formula>
    </cfRule>
  </conditionalFormatting>
  <conditionalFormatting sqref="R108">
    <cfRule type="cellIs" dxfId="1343" priority="4" stopIfTrue="1" operator="lessThan">
      <formula>$E$108</formula>
    </cfRule>
    <cfRule type="cellIs" dxfId="1342" priority="5" stopIfTrue="1" operator="greaterThanOrEqual">
      <formula>$E$108</formula>
    </cfRule>
  </conditionalFormatting>
  <conditionalFormatting sqref="R93">
    <cfRule type="cellIs" dxfId="1341" priority="24" stopIfTrue="1" operator="lessThan">
      <formula>$D$93</formula>
    </cfRule>
    <cfRule type="cellIs" dxfId="1340" priority="25" stopIfTrue="1" operator="between">
      <formula>$D$93</formula>
      <formula>$E$93</formula>
    </cfRule>
    <cfRule type="cellIs" dxfId="1339" priority="26" stopIfTrue="1" operator="greaterThan">
      <formula>$E$93</formula>
    </cfRule>
  </conditionalFormatting>
  <conditionalFormatting sqref="R114">
    <cfRule type="cellIs" dxfId="1338" priority="27" stopIfTrue="1" operator="lessThan">
      <formula>$E$114</formula>
    </cfRule>
    <cfRule type="cellIs" dxfId="1337" priority="28" stopIfTrue="1" operator="between">
      <formula>$D$114</formula>
      <formula>$E$114</formula>
    </cfRule>
    <cfRule type="cellIs" dxfId="1336" priority="29" stopIfTrue="1" operator="greaterThanOrEqual">
      <formula>$D$114</formula>
    </cfRule>
  </conditionalFormatting>
  <conditionalFormatting sqref="R90">
    <cfRule type="cellIs" dxfId="1335" priority="2" stopIfTrue="1" operator="lessThan">
      <formula>$E$90</formula>
    </cfRule>
    <cfRule type="cellIs" dxfId="1334" priority="3" stopIfTrue="1" operator="greaterThan">
      <formula>$E$90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0"/>
  <sheetViews>
    <sheetView topLeftCell="G1" workbookViewId="0">
      <selection activeCell="G2" sqref="G2"/>
    </sheetView>
  </sheetViews>
  <sheetFormatPr defaultRowHeight="11.25" x14ac:dyDescent="0.2"/>
  <cols>
    <col min="1" max="1" width="5.7109375" style="16" bestFit="1" customWidth="1"/>
    <col min="2" max="2" width="5" style="2" bestFit="1" customWidth="1"/>
    <col min="3" max="3" width="21" style="19" bestFit="1" customWidth="1"/>
    <col min="4" max="4" width="7.28515625" style="19" customWidth="1"/>
    <col min="5" max="5" width="5.140625" style="17" bestFit="1" customWidth="1"/>
    <col min="6" max="6" width="2.140625" style="16" customWidth="1"/>
    <col min="7" max="7" width="21.5703125" style="48" customWidth="1"/>
    <col min="8" max="11" width="8.7109375" style="4" customWidth="1"/>
    <col min="12" max="18" width="8.7109375" style="4" bestFit="1" customWidth="1"/>
    <col min="19" max="256" width="9.140625" style="4"/>
    <col min="257" max="257" width="5.7109375" style="4" bestFit="1" customWidth="1"/>
    <col min="258" max="258" width="5" style="4" bestFit="1" customWidth="1"/>
    <col min="259" max="259" width="21" style="4" bestFit="1" customWidth="1"/>
    <col min="260" max="260" width="7.28515625" style="4" customWidth="1"/>
    <col min="261" max="261" width="5.140625" style="4" bestFit="1" customWidth="1"/>
    <col min="262" max="262" width="2.140625" style="4" customWidth="1"/>
    <col min="263" max="263" width="21.5703125" style="4" customWidth="1"/>
    <col min="264" max="267" width="8.7109375" style="4" customWidth="1"/>
    <col min="268" max="274" width="8.7109375" style="4" bestFit="1" customWidth="1"/>
    <col min="275" max="512" width="9.140625" style="4"/>
    <col min="513" max="513" width="5.7109375" style="4" bestFit="1" customWidth="1"/>
    <col min="514" max="514" width="5" style="4" bestFit="1" customWidth="1"/>
    <col min="515" max="515" width="21" style="4" bestFit="1" customWidth="1"/>
    <col min="516" max="516" width="7.28515625" style="4" customWidth="1"/>
    <col min="517" max="517" width="5.140625" style="4" bestFit="1" customWidth="1"/>
    <col min="518" max="518" width="2.140625" style="4" customWidth="1"/>
    <col min="519" max="519" width="21.5703125" style="4" customWidth="1"/>
    <col min="520" max="523" width="8.7109375" style="4" customWidth="1"/>
    <col min="524" max="530" width="8.7109375" style="4" bestFit="1" customWidth="1"/>
    <col min="531" max="768" width="9.140625" style="4"/>
    <col min="769" max="769" width="5.7109375" style="4" bestFit="1" customWidth="1"/>
    <col min="770" max="770" width="5" style="4" bestFit="1" customWidth="1"/>
    <col min="771" max="771" width="21" style="4" bestFit="1" customWidth="1"/>
    <col min="772" max="772" width="7.28515625" style="4" customWidth="1"/>
    <col min="773" max="773" width="5.140625" style="4" bestFit="1" customWidth="1"/>
    <col min="774" max="774" width="2.140625" style="4" customWidth="1"/>
    <col min="775" max="775" width="21.5703125" style="4" customWidth="1"/>
    <col min="776" max="779" width="8.7109375" style="4" customWidth="1"/>
    <col min="780" max="786" width="8.7109375" style="4" bestFit="1" customWidth="1"/>
    <col min="787" max="1024" width="9.140625" style="4"/>
    <col min="1025" max="1025" width="5.7109375" style="4" bestFit="1" customWidth="1"/>
    <col min="1026" max="1026" width="5" style="4" bestFit="1" customWidth="1"/>
    <col min="1027" max="1027" width="21" style="4" bestFit="1" customWidth="1"/>
    <col min="1028" max="1028" width="7.28515625" style="4" customWidth="1"/>
    <col min="1029" max="1029" width="5.140625" style="4" bestFit="1" customWidth="1"/>
    <col min="1030" max="1030" width="2.140625" style="4" customWidth="1"/>
    <col min="1031" max="1031" width="21.5703125" style="4" customWidth="1"/>
    <col min="1032" max="1035" width="8.7109375" style="4" customWidth="1"/>
    <col min="1036" max="1042" width="8.7109375" style="4" bestFit="1" customWidth="1"/>
    <col min="1043" max="1280" width="9.140625" style="4"/>
    <col min="1281" max="1281" width="5.7109375" style="4" bestFit="1" customWidth="1"/>
    <col min="1282" max="1282" width="5" style="4" bestFit="1" customWidth="1"/>
    <col min="1283" max="1283" width="21" style="4" bestFit="1" customWidth="1"/>
    <col min="1284" max="1284" width="7.28515625" style="4" customWidth="1"/>
    <col min="1285" max="1285" width="5.140625" style="4" bestFit="1" customWidth="1"/>
    <col min="1286" max="1286" width="2.140625" style="4" customWidth="1"/>
    <col min="1287" max="1287" width="21.5703125" style="4" customWidth="1"/>
    <col min="1288" max="1291" width="8.7109375" style="4" customWidth="1"/>
    <col min="1292" max="1298" width="8.7109375" style="4" bestFit="1" customWidth="1"/>
    <col min="1299" max="1536" width="9.140625" style="4"/>
    <col min="1537" max="1537" width="5.7109375" style="4" bestFit="1" customWidth="1"/>
    <col min="1538" max="1538" width="5" style="4" bestFit="1" customWidth="1"/>
    <col min="1539" max="1539" width="21" style="4" bestFit="1" customWidth="1"/>
    <col min="1540" max="1540" width="7.28515625" style="4" customWidth="1"/>
    <col min="1541" max="1541" width="5.140625" style="4" bestFit="1" customWidth="1"/>
    <col min="1542" max="1542" width="2.140625" style="4" customWidth="1"/>
    <col min="1543" max="1543" width="21.5703125" style="4" customWidth="1"/>
    <col min="1544" max="1547" width="8.7109375" style="4" customWidth="1"/>
    <col min="1548" max="1554" width="8.7109375" style="4" bestFit="1" customWidth="1"/>
    <col min="1555" max="1792" width="9.140625" style="4"/>
    <col min="1793" max="1793" width="5.7109375" style="4" bestFit="1" customWidth="1"/>
    <col min="1794" max="1794" width="5" style="4" bestFit="1" customWidth="1"/>
    <col min="1795" max="1795" width="21" style="4" bestFit="1" customWidth="1"/>
    <col min="1796" max="1796" width="7.28515625" style="4" customWidth="1"/>
    <col min="1797" max="1797" width="5.140625" style="4" bestFit="1" customWidth="1"/>
    <col min="1798" max="1798" width="2.140625" style="4" customWidth="1"/>
    <col min="1799" max="1799" width="21.5703125" style="4" customWidth="1"/>
    <col min="1800" max="1803" width="8.7109375" style="4" customWidth="1"/>
    <col min="1804" max="1810" width="8.7109375" style="4" bestFit="1" customWidth="1"/>
    <col min="1811" max="2048" width="9.140625" style="4"/>
    <col min="2049" max="2049" width="5.7109375" style="4" bestFit="1" customWidth="1"/>
    <col min="2050" max="2050" width="5" style="4" bestFit="1" customWidth="1"/>
    <col min="2051" max="2051" width="21" style="4" bestFit="1" customWidth="1"/>
    <col min="2052" max="2052" width="7.28515625" style="4" customWidth="1"/>
    <col min="2053" max="2053" width="5.140625" style="4" bestFit="1" customWidth="1"/>
    <col min="2054" max="2054" width="2.140625" style="4" customWidth="1"/>
    <col min="2055" max="2055" width="21.5703125" style="4" customWidth="1"/>
    <col min="2056" max="2059" width="8.7109375" style="4" customWidth="1"/>
    <col min="2060" max="2066" width="8.7109375" style="4" bestFit="1" customWidth="1"/>
    <col min="2067" max="2304" width="9.140625" style="4"/>
    <col min="2305" max="2305" width="5.7109375" style="4" bestFit="1" customWidth="1"/>
    <col min="2306" max="2306" width="5" style="4" bestFit="1" customWidth="1"/>
    <col min="2307" max="2307" width="21" style="4" bestFit="1" customWidth="1"/>
    <col min="2308" max="2308" width="7.28515625" style="4" customWidth="1"/>
    <col min="2309" max="2309" width="5.140625" style="4" bestFit="1" customWidth="1"/>
    <col min="2310" max="2310" width="2.140625" style="4" customWidth="1"/>
    <col min="2311" max="2311" width="21.5703125" style="4" customWidth="1"/>
    <col min="2312" max="2315" width="8.7109375" style="4" customWidth="1"/>
    <col min="2316" max="2322" width="8.7109375" style="4" bestFit="1" customWidth="1"/>
    <col min="2323" max="2560" width="9.140625" style="4"/>
    <col min="2561" max="2561" width="5.7109375" style="4" bestFit="1" customWidth="1"/>
    <col min="2562" max="2562" width="5" style="4" bestFit="1" customWidth="1"/>
    <col min="2563" max="2563" width="21" style="4" bestFit="1" customWidth="1"/>
    <col min="2564" max="2564" width="7.28515625" style="4" customWidth="1"/>
    <col min="2565" max="2565" width="5.140625" style="4" bestFit="1" customWidth="1"/>
    <col min="2566" max="2566" width="2.140625" style="4" customWidth="1"/>
    <col min="2567" max="2567" width="21.5703125" style="4" customWidth="1"/>
    <col min="2568" max="2571" width="8.7109375" style="4" customWidth="1"/>
    <col min="2572" max="2578" width="8.7109375" style="4" bestFit="1" customWidth="1"/>
    <col min="2579" max="2816" width="9.140625" style="4"/>
    <col min="2817" max="2817" width="5.7109375" style="4" bestFit="1" customWidth="1"/>
    <col min="2818" max="2818" width="5" style="4" bestFit="1" customWidth="1"/>
    <col min="2819" max="2819" width="21" style="4" bestFit="1" customWidth="1"/>
    <col min="2820" max="2820" width="7.28515625" style="4" customWidth="1"/>
    <col min="2821" max="2821" width="5.140625" style="4" bestFit="1" customWidth="1"/>
    <col min="2822" max="2822" width="2.140625" style="4" customWidth="1"/>
    <col min="2823" max="2823" width="21.5703125" style="4" customWidth="1"/>
    <col min="2824" max="2827" width="8.7109375" style="4" customWidth="1"/>
    <col min="2828" max="2834" width="8.7109375" style="4" bestFit="1" customWidth="1"/>
    <col min="2835" max="3072" width="9.140625" style="4"/>
    <col min="3073" max="3073" width="5.7109375" style="4" bestFit="1" customWidth="1"/>
    <col min="3074" max="3074" width="5" style="4" bestFit="1" customWidth="1"/>
    <col min="3075" max="3075" width="21" style="4" bestFit="1" customWidth="1"/>
    <col min="3076" max="3076" width="7.28515625" style="4" customWidth="1"/>
    <col min="3077" max="3077" width="5.140625" style="4" bestFit="1" customWidth="1"/>
    <col min="3078" max="3078" width="2.140625" style="4" customWidth="1"/>
    <col min="3079" max="3079" width="21.5703125" style="4" customWidth="1"/>
    <col min="3080" max="3083" width="8.7109375" style="4" customWidth="1"/>
    <col min="3084" max="3090" width="8.7109375" style="4" bestFit="1" customWidth="1"/>
    <col min="3091" max="3328" width="9.140625" style="4"/>
    <col min="3329" max="3329" width="5.7109375" style="4" bestFit="1" customWidth="1"/>
    <col min="3330" max="3330" width="5" style="4" bestFit="1" customWidth="1"/>
    <col min="3331" max="3331" width="21" style="4" bestFit="1" customWidth="1"/>
    <col min="3332" max="3332" width="7.28515625" style="4" customWidth="1"/>
    <col min="3333" max="3333" width="5.140625" style="4" bestFit="1" customWidth="1"/>
    <col min="3334" max="3334" width="2.140625" style="4" customWidth="1"/>
    <col min="3335" max="3335" width="21.5703125" style="4" customWidth="1"/>
    <col min="3336" max="3339" width="8.7109375" style="4" customWidth="1"/>
    <col min="3340" max="3346" width="8.7109375" style="4" bestFit="1" customWidth="1"/>
    <col min="3347" max="3584" width="9.140625" style="4"/>
    <col min="3585" max="3585" width="5.7109375" style="4" bestFit="1" customWidth="1"/>
    <col min="3586" max="3586" width="5" style="4" bestFit="1" customWidth="1"/>
    <col min="3587" max="3587" width="21" style="4" bestFit="1" customWidth="1"/>
    <col min="3588" max="3588" width="7.28515625" style="4" customWidth="1"/>
    <col min="3589" max="3589" width="5.140625" style="4" bestFit="1" customWidth="1"/>
    <col min="3590" max="3590" width="2.140625" style="4" customWidth="1"/>
    <col min="3591" max="3591" width="21.5703125" style="4" customWidth="1"/>
    <col min="3592" max="3595" width="8.7109375" style="4" customWidth="1"/>
    <col min="3596" max="3602" width="8.7109375" style="4" bestFit="1" customWidth="1"/>
    <col min="3603" max="3840" width="9.140625" style="4"/>
    <col min="3841" max="3841" width="5.7109375" style="4" bestFit="1" customWidth="1"/>
    <col min="3842" max="3842" width="5" style="4" bestFit="1" customWidth="1"/>
    <col min="3843" max="3843" width="21" style="4" bestFit="1" customWidth="1"/>
    <col min="3844" max="3844" width="7.28515625" style="4" customWidth="1"/>
    <col min="3845" max="3845" width="5.140625" style="4" bestFit="1" customWidth="1"/>
    <col min="3846" max="3846" width="2.140625" style="4" customWidth="1"/>
    <col min="3847" max="3847" width="21.5703125" style="4" customWidth="1"/>
    <col min="3848" max="3851" width="8.7109375" style="4" customWidth="1"/>
    <col min="3852" max="3858" width="8.7109375" style="4" bestFit="1" customWidth="1"/>
    <col min="3859" max="4096" width="9.140625" style="4"/>
    <col min="4097" max="4097" width="5.7109375" style="4" bestFit="1" customWidth="1"/>
    <col min="4098" max="4098" width="5" style="4" bestFit="1" customWidth="1"/>
    <col min="4099" max="4099" width="21" style="4" bestFit="1" customWidth="1"/>
    <col min="4100" max="4100" width="7.28515625" style="4" customWidth="1"/>
    <col min="4101" max="4101" width="5.140625" style="4" bestFit="1" customWidth="1"/>
    <col min="4102" max="4102" width="2.140625" style="4" customWidth="1"/>
    <col min="4103" max="4103" width="21.5703125" style="4" customWidth="1"/>
    <col min="4104" max="4107" width="8.7109375" style="4" customWidth="1"/>
    <col min="4108" max="4114" width="8.7109375" style="4" bestFit="1" customWidth="1"/>
    <col min="4115" max="4352" width="9.140625" style="4"/>
    <col min="4353" max="4353" width="5.7109375" style="4" bestFit="1" customWidth="1"/>
    <col min="4354" max="4354" width="5" style="4" bestFit="1" customWidth="1"/>
    <col min="4355" max="4355" width="21" style="4" bestFit="1" customWidth="1"/>
    <col min="4356" max="4356" width="7.28515625" style="4" customWidth="1"/>
    <col min="4357" max="4357" width="5.140625" style="4" bestFit="1" customWidth="1"/>
    <col min="4358" max="4358" width="2.140625" style="4" customWidth="1"/>
    <col min="4359" max="4359" width="21.5703125" style="4" customWidth="1"/>
    <col min="4360" max="4363" width="8.7109375" style="4" customWidth="1"/>
    <col min="4364" max="4370" width="8.7109375" style="4" bestFit="1" customWidth="1"/>
    <col min="4371" max="4608" width="9.140625" style="4"/>
    <col min="4609" max="4609" width="5.7109375" style="4" bestFit="1" customWidth="1"/>
    <col min="4610" max="4610" width="5" style="4" bestFit="1" customWidth="1"/>
    <col min="4611" max="4611" width="21" style="4" bestFit="1" customWidth="1"/>
    <col min="4612" max="4612" width="7.28515625" style="4" customWidth="1"/>
    <col min="4613" max="4613" width="5.140625" style="4" bestFit="1" customWidth="1"/>
    <col min="4614" max="4614" width="2.140625" style="4" customWidth="1"/>
    <col min="4615" max="4615" width="21.5703125" style="4" customWidth="1"/>
    <col min="4616" max="4619" width="8.7109375" style="4" customWidth="1"/>
    <col min="4620" max="4626" width="8.7109375" style="4" bestFit="1" customWidth="1"/>
    <col min="4627" max="4864" width="9.140625" style="4"/>
    <col min="4865" max="4865" width="5.7109375" style="4" bestFit="1" customWidth="1"/>
    <col min="4866" max="4866" width="5" style="4" bestFit="1" customWidth="1"/>
    <col min="4867" max="4867" width="21" style="4" bestFit="1" customWidth="1"/>
    <col min="4868" max="4868" width="7.28515625" style="4" customWidth="1"/>
    <col min="4869" max="4869" width="5.140625" style="4" bestFit="1" customWidth="1"/>
    <col min="4870" max="4870" width="2.140625" style="4" customWidth="1"/>
    <col min="4871" max="4871" width="21.5703125" style="4" customWidth="1"/>
    <col min="4872" max="4875" width="8.7109375" style="4" customWidth="1"/>
    <col min="4876" max="4882" width="8.7109375" style="4" bestFit="1" customWidth="1"/>
    <col min="4883" max="5120" width="9.140625" style="4"/>
    <col min="5121" max="5121" width="5.7109375" style="4" bestFit="1" customWidth="1"/>
    <col min="5122" max="5122" width="5" style="4" bestFit="1" customWidth="1"/>
    <col min="5123" max="5123" width="21" style="4" bestFit="1" customWidth="1"/>
    <col min="5124" max="5124" width="7.28515625" style="4" customWidth="1"/>
    <col min="5125" max="5125" width="5.140625" style="4" bestFit="1" customWidth="1"/>
    <col min="5126" max="5126" width="2.140625" style="4" customWidth="1"/>
    <col min="5127" max="5127" width="21.5703125" style="4" customWidth="1"/>
    <col min="5128" max="5131" width="8.7109375" style="4" customWidth="1"/>
    <col min="5132" max="5138" width="8.7109375" style="4" bestFit="1" customWidth="1"/>
    <col min="5139" max="5376" width="9.140625" style="4"/>
    <col min="5377" max="5377" width="5.7109375" style="4" bestFit="1" customWidth="1"/>
    <col min="5378" max="5378" width="5" style="4" bestFit="1" customWidth="1"/>
    <col min="5379" max="5379" width="21" style="4" bestFit="1" customWidth="1"/>
    <col min="5380" max="5380" width="7.28515625" style="4" customWidth="1"/>
    <col min="5381" max="5381" width="5.140625" style="4" bestFit="1" customWidth="1"/>
    <col min="5382" max="5382" width="2.140625" style="4" customWidth="1"/>
    <col min="5383" max="5383" width="21.5703125" style="4" customWidth="1"/>
    <col min="5384" max="5387" width="8.7109375" style="4" customWidth="1"/>
    <col min="5388" max="5394" width="8.7109375" style="4" bestFit="1" customWidth="1"/>
    <col min="5395" max="5632" width="9.140625" style="4"/>
    <col min="5633" max="5633" width="5.7109375" style="4" bestFit="1" customWidth="1"/>
    <col min="5634" max="5634" width="5" style="4" bestFit="1" customWidth="1"/>
    <col min="5635" max="5635" width="21" style="4" bestFit="1" customWidth="1"/>
    <col min="5636" max="5636" width="7.28515625" style="4" customWidth="1"/>
    <col min="5637" max="5637" width="5.140625" style="4" bestFit="1" customWidth="1"/>
    <col min="5638" max="5638" width="2.140625" style="4" customWidth="1"/>
    <col min="5639" max="5639" width="21.5703125" style="4" customWidth="1"/>
    <col min="5640" max="5643" width="8.7109375" style="4" customWidth="1"/>
    <col min="5644" max="5650" width="8.7109375" style="4" bestFit="1" customWidth="1"/>
    <col min="5651" max="5888" width="9.140625" style="4"/>
    <col min="5889" max="5889" width="5.7109375" style="4" bestFit="1" customWidth="1"/>
    <col min="5890" max="5890" width="5" style="4" bestFit="1" customWidth="1"/>
    <col min="5891" max="5891" width="21" style="4" bestFit="1" customWidth="1"/>
    <col min="5892" max="5892" width="7.28515625" style="4" customWidth="1"/>
    <col min="5893" max="5893" width="5.140625" style="4" bestFit="1" customWidth="1"/>
    <col min="5894" max="5894" width="2.140625" style="4" customWidth="1"/>
    <col min="5895" max="5895" width="21.5703125" style="4" customWidth="1"/>
    <col min="5896" max="5899" width="8.7109375" style="4" customWidth="1"/>
    <col min="5900" max="5906" width="8.7109375" style="4" bestFit="1" customWidth="1"/>
    <col min="5907" max="6144" width="9.140625" style="4"/>
    <col min="6145" max="6145" width="5.7109375" style="4" bestFit="1" customWidth="1"/>
    <col min="6146" max="6146" width="5" style="4" bestFit="1" customWidth="1"/>
    <col min="6147" max="6147" width="21" style="4" bestFit="1" customWidth="1"/>
    <col min="6148" max="6148" width="7.28515625" style="4" customWidth="1"/>
    <col min="6149" max="6149" width="5.140625" style="4" bestFit="1" customWidth="1"/>
    <col min="6150" max="6150" width="2.140625" style="4" customWidth="1"/>
    <col min="6151" max="6151" width="21.5703125" style="4" customWidth="1"/>
    <col min="6152" max="6155" width="8.7109375" style="4" customWidth="1"/>
    <col min="6156" max="6162" width="8.7109375" style="4" bestFit="1" customWidth="1"/>
    <col min="6163" max="6400" width="9.140625" style="4"/>
    <col min="6401" max="6401" width="5.7109375" style="4" bestFit="1" customWidth="1"/>
    <col min="6402" max="6402" width="5" style="4" bestFit="1" customWidth="1"/>
    <col min="6403" max="6403" width="21" style="4" bestFit="1" customWidth="1"/>
    <col min="6404" max="6404" width="7.28515625" style="4" customWidth="1"/>
    <col min="6405" max="6405" width="5.140625" style="4" bestFit="1" customWidth="1"/>
    <col min="6406" max="6406" width="2.140625" style="4" customWidth="1"/>
    <col min="6407" max="6407" width="21.5703125" style="4" customWidth="1"/>
    <col min="6408" max="6411" width="8.7109375" style="4" customWidth="1"/>
    <col min="6412" max="6418" width="8.7109375" style="4" bestFit="1" customWidth="1"/>
    <col min="6419" max="6656" width="9.140625" style="4"/>
    <col min="6657" max="6657" width="5.7109375" style="4" bestFit="1" customWidth="1"/>
    <col min="6658" max="6658" width="5" style="4" bestFit="1" customWidth="1"/>
    <col min="6659" max="6659" width="21" style="4" bestFit="1" customWidth="1"/>
    <col min="6660" max="6660" width="7.28515625" style="4" customWidth="1"/>
    <col min="6661" max="6661" width="5.140625" style="4" bestFit="1" customWidth="1"/>
    <col min="6662" max="6662" width="2.140625" style="4" customWidth="1"/>
    <col min="6663" max="6663" width="21.5703125" style="4" customWidth="1"/>
    <col min="6664" max="6667" width="8.7109375" style="4" customWidth="1"/>
    <col min="6668" max="6674" width="8.7109375" style="4" bestFit="1" customWidth="1"/>
    <col min="6675" max="6912" width="9.140625" style="4"/>
    <col min="6913" max="6913" width="5.7109375" style="4" bestFit="1" customWidth="1"/>
    <col min="6914" max="6914" width="5" style="4" bestFit="1" customWidth="1"/>
    <col min="6915" max="6915" width="21" style="4" bestFit="1" customWidth="1"/>
    <col min="6916" max="6916" width="7.28515625" style="4" customWidth="1"/>
    <col min="6917" max="6917" width="5.140625" style="4" bestFit="1" customWidth="1"/>
    <col min="6918" max="6918" width="2.140625" style="4" customWidth="1"/>
    <col min="6919" max="6919" width="21.5703125" style="4" customWidth="1"/>
    <col min="6920" max="6923" width="8.7109375" style="4" customWidth="1"/>
    <col min="6924" max="6930" width="8.7109375" style="4" bestFit="1" customWidth="1"/>
    <col min="6931" max="7168" width="9.140625" style="4"/>
    <col min="7169" max="7169" width="5.7109375" style="4" bestFit="1" customWidth="1"/>
    <col min="7170" max="7170" width="5" style="4" bestFit="1" customWidth="1"/>
    <col min="7171" max="7171" width="21" style="4" bestFit="1" customWidth="1"/>
    <col min="7172" max="7172" width="7.28515625" style="4" customWidth="1"/>
    <col min="7173" max="7173" width="5.140625" style="4" bestFit="1" customWidth="1"/>
    <col min="7174" max="7174" width="2.140625" style="4" customWidth="1"/>
    <col min="7175" max="7175" width="21.5703125" style="4" customWidth="1"/>
    <col min="7176" max="7179" width="8.7109375" style="4" customWidth="1"/>
    <col min="7180" max="7186" width="8.7109375" style="4" bestFit="1" customWidth="1"/>
    <col min="7187" max="7424" width="9.140625" style="4"/>
    <col min="7425" max="7425" width="5.7109375" style="4" bestFit="1" customWidth="1"/>
    <col min="7426" max="7426" width="5" style="4" bestFit="1" customWidth="1"/>
    <col min="7427" max="7427" width="21" style="4" bestFit="1" customWidth="1"/>
    <col min="7428" max="7428" width="7.28515625" style="4" customWidth="1"/>
    <col min="7429" max="7429" width="5.140625" style="4" bestFit="1" customWidth="1"/>
    <col min="7430" max="7430" width="2.140625" style="4" customWidth="1"/>
    <col min="7431" max="7431" width="21.5703125" style="4" customWidth="1"/>
    <col min="7432" max="7435" width="8.7109375" style="4" customWidth="1"/>
    <col min="7436" max="7442" width="8.7109375" style="4" bestFit="1" customWidth="1"/>
    <col min="7443" max="7680" width="9.140625" style="4"/>
    <col min="7681" max="7681" width="5.7109375" style="4" bestFit="1" customWidth="1"/>
    <col min="7682" max="7682" width="5" style="4" bestFit="1" customWidth="1"/>
    <col min="7683" max="7683" width="21" style="4" bestFit="1" customWidth="1"/>
    <col min="7684" max="7684" width="7.28515625" style="4" customWidth="1"/>
    <col min="7685" max="7685" width="5.140625" style="4" bestFit="1" customWidth="1"/>
    <col min="7686" max="7686" width="2.140625" style="4" customWidth="1"/>
    <col min="7687" max="7687" width="21.5703125" style="4" customWidth="1"/>
    <col min="7688" max="7691" width="8.7109375" style="4" customWidth="1"/>
    <col min="7692" max="7698" width="8.7109375" style="4" bestFit="1" customWidth="1"/>
    <col min="7699" max="7936" width="9.140625" style="4"/>
    <col min="7937" max="7937" width="5.7109375" style="4" bestFit="1" customWidth="1"/>
    <col min="7938" max="7938" width="5" style="4" bestFit="1" customWidth="1"/>
    <col min="7939" max="7939" width="21" style="4" bestFit="1" customWidth="1"/>
    <col min="7940" max="7940" width="7.28515625" style="4" customWidth="1"/>
    <col min="7941" max="7941" width="5.140625" style="4" bestFit="1" customWidth="1"/>
    <col min="7942" max="7942" width="2.140625" style="4" customWidth="1"/>
    <col min="7943" max="7943" width="21.5703125" style="4" customWidth="1"/>
    <col min="7944" max="7947" width="8.7109375" style="4" customWidth="1"/>
    <col min="7948" max="7954" width="8.7109375" style="4" bestFit="1" customWidth="1"/>
    <col min="7955" max="8192" width="9.140625" style="4"/>
    <col min="8193" max="8193" width="5.7109375" style="4" bestFit="1" customWidth="1"/>
    <col min="8194" max="8194" width="5" style="4" bestFit="1" customWidth="1"/>
    <col min="8195" max="8195" width="21" style="4" bestFit="1" customWidth="1"/>
    <col min="8196" max="8196" width="7.28515625" style="4" customWidth="1"/>
    <col min="8197" max="8197" width="5.140625" style="4" bestFit="1" customWidth="1"/>
    <col min="8198" max="8198" width="2.140625" style="4" customWidth="1"/>
    <col min="8199" max="8199" width="21.5703125" style="4" customWidth="1"/>
    <col min="8200" max="8203" width="8.7109375" style="4" customWidth="1"/>
    <col min="8204" max="8210" width="8.7109375" style="4" bestFit="1" customWidth="1"/>
    <col min="8211" max="8448" width="9.140625" style="4"/>
    <col min="8449" max="8449" width="5.7109375" style="4" bestFit="1" customWidth="1"/>
    <col min="8450" max="8450" width="5" style="4" bestFit="1" customWidth="1"/>
    <col min="8451" max="8451" width="21" style="4" bestFit="1" customWidth="1"/>
    <col min="8452" max="8452" width="7.28515625" style="4" customWidth="1"/>
    <col min="8453" max="8453" width="5.140625" style="4" bestFit="1" customWidth="1"/>
    <col min="8454" max="8454" width="2.140625" style="4" customWidth="1"/>
    <col min="8455" max="8455" width="21.5703125" style="4" customWidth="1"/>
    <col min="8456" max="8459" width="8.7109375" style="4" customWidth="1"/>
    <col min="8460" max="8466" width="8.7109375" style="4" bestFit="1" customWidth="1"/>
    <col min="8467" max="8704" width="9.140625" style="4"/>
    <col min="8705" max="8705" width="5.7109375" style="4" bestFit="1" customWidth="1"/>
    <col min="8706" max="8706" width="5" style="4" bestFit="1" customWidth="1"/>
    <col min="8707" max="8707" width="21" style="4" bestFit="1" customWidth="1"/>
    <col min="8708" max="8708" width="7.28515625" style="4" customWidth="1"/>
    <col min="8709" max="8709" width="5.140625" style="4" bestFit="1" customWidth="1"/>
    <col min="8710" max="8710" width="2.140625" style="4" customWidth="1"/>
    <col min="8711" max="8711" width="21.5703125" style="4" customWidth="1"/>
    <col min="8712" max="8715" width="8.7109375" style="4" customWidth="1"/>
    <col min="8716" max="8722" width="8.7109375" style="4" bestFit="1" customWidth="1"/>
    <col min="8723" max="8960" width="9.140625" style="4"/>
    <col min="8961" max="8961" width="5.7109375" style="4" bestFit="1" customWidth="1"/>
    <col min="8962" max="8962" width="5" style="4" bestFit="1" customWidth="1"/>
    <col min="8963" max="8963" width="21" style="4" bestFit="1" customWidth="1"/>
    <col min="8964" max="8964" width="7.28515625" style="4" customWidth="1"/>
    <col min="8965" max="8965" width="5.140625" style="4" bestFit="1" customWidth="1"/>
    <col min="8966" max="8966" width="2.140625" style="4" customWidth="1"/>
    <col min="8967" max="8967" width="21.5703125" style="4" customWidth="1"/>
    <col min="8968" max="8971" width="8.7109375" style="4" customWidth="1"/>
    <col min="8972" max="8978" width="8.7109375" style="4" bestFit="1" customWidth="1"/>
    <col min="8979" max="9216" width="9.140625" style="4"/>
    <col min="9217" max="9217" width="5.7109375" style="4" bestFit="1" customWidth="1"/>
    <col min="9218" max="9218" width="5" style="4" bestFit="1" customWidth="1"/>
    <col min="9219" max="9219" width="21" style="4" bestFit="1" customWidth="1"/>
    <col min="9220" max="9220" width="7.28515625" style="4" customWidth="1"/>
    <col min="9221" max="9221" width="5.140625" style="4" bestFit="1" customWidth="1"/>
    <col min="9222" max="9222" width="2.140625" style="4" customWidth="1"/>
    <col min="9223" max="9223" width="21.5703125" style="4" customWidth="1"/>
    <col min="9224" max="9227" width="8.7109375" style="4" customWidth="1"/>
    <col min="9228" max="9234" width="8.7109375" style="4" bestFit="1" customWidth="1"/>
    <col min="9235" max="9472" width="9.140625" style="4"/>
    <col min="9473" max="9473" width="5.7109375" style="4" bestFit="1" customWidth="1"/>
    <col min="9474" max="9474" width="5" style="4" bestFit="1" customWidth="1"/>
    <col min="9475" max="9475" width="21" style="4" bestFit="1" customWidth="1"/>
    <col min="9476" max="9476" width="7.28515625" style="4" customWidth="1"/>
    <col min="9477" max="9477" width="5.140625" style="4" bestFit="1" customWidth="1"/>
    <col min="9478" max="9478" width="2.140625" style="4" customWidth="1"/>
    <col min="9479" max="9479" width="21.5703125" style="4" customWidth="1"/>
    <col min="9480" max="9483" width="8.7109375" style="4" customWidth="1"/>
    <col min="9484" max="9490" width="8.7109375" style="4" bestFit="1" customWidth="1"/>
    <col min="9491" max="9728" width="9.140625" style="4"/>
    <col min="9729" max="9729" width="5.7109375" style="4" bestFit="1" customWidth="1"/>
    <col min="9730" max="9730" width="5" style="4" bestFit="1" customWidth="1"/>
    <col min="9731" max="9731" width="21" style="4" bestFit="1" customWidth="1"/>
    <col min="9732" max="9732" width="7.28515625" style="4" customWidth="1"/>
    <col min="9733" max="9733" width="5.140625" style="4" bestFit="1" customWidth="1"/>
    <col min="9734" max="9734" width="2.140625" style="4" customWidth="1"/>
    <col min="9735" max="9735" width="21.5703125" style="4" customWidth="1"/>
    <col min="9736" max="9739" width="8.7109375" style="4" customWidth="1"/>
    <col min="9740" max="9746" width="8.7109375" style="4" bestFit="1" customWidth="1"/>
    <col min="9747" max="9984" width="9.140625" style="4"/>
    <col min="9985" max="9985" width="5.7109375" style="4" bestFit="1" customWidth="1"/>
    <col min="9986" max="9986" width="5" style="4" bestFit="1" customWidth="1"/>
    <col min="9987" max="9987" width="21" style="4" bestFit="1" customWidth="1"/>
    <col min="9988" max="9988" width="7.28515625" style="4" customWidth="1"/>
    <col min="9989" max="9989" width="5.140625" style="4" bestFit="1" customWidth="1"/>
    <col min="9990" max="9990" width="2.140625" style="4" customWidth="1"/>
    <col min="9991" max="9991" width="21.5703125" style="4" customWidth="1"/>
    <col min="9992" max="9995" width="8.7109375" style="4" customWidth="1"/>
    <col min="9996" max="10002" width="8.7109375" style="4" bestFit="1" customWidth="1"/>
    <col min="10003" max="10240" width="9.140625" style="4"/>
    <col min="10241" max="10241" width="5.7109375" style="4" bestFit="1" customWidth="1"/>
    <col min="10242" max="10242" width="5" style="4" bestFit="1" customWidth="1"/>
    <col min="10243" max="10243" width="21" style="4" bestFit="1" customWidth="1"/>
    <col min="10244" max="10244" width="7.28515625" style="4" customWidth="1"/>
    <col min="10245" max="10245" width="5.140625" style="4" bestFit="1" customWidth="1"/>
    <col min="10246" max="10246" width="2.140625" style="4" customWidth="1"/>
    <col min="10247" max="10247" width="21.5703125" style="4" customWidth="1"/>
    <col min="10248" max="10251" width="8.7109375" style="4" customWidth="1"/>
    <col min="10252" max="10258" width="8.7109375" style="4" bestFit="1" customWidth="1"/>
    <col min="10259" max="10496" width="9.140625" style="4"/>
    <col min="10497" max="10497" width="5.7109375" style="4" bestFit="1" customWidth="1"/>
    <col min="10498" max="10498" width="5" style="4" bestFit="1" customWidth="1"/>
    <col min="10499" max="10499" width="21" style="4" bestFit="1" customWidth="1"/>
    <col min="10500" max="10500" width="7.28515625" style="4" customWidth="1"/>
    <col min="10501" max="10501" width="5.140625" style="4" bestFit="1" customWidth="1"/>
    <col min="10502" max="10502" width="2.140625" style="4" customWidth="1"/>
    <col min="10503" max="10503" width="21.5703125" style="4" customWidth="1"/>
    <col min="10504" max="10507" width="8.7109375" style="4" customWidth="1"/>
    <col min="10508" max="10514" width="8.7109375" style="4" bestFit="1" customWidth="1"/>
    <col min="10515" max="10752" width="9.140625" style="4"/>
    <col min="10753" max="10753" width="5.7109375" style="4" bestFit="1" customWidth="1"/>
    <col min="10754" max="10754" width="5" style="4" bestFit="1" customWidth="1"/>
    <col min="10755" max="10755" width="21" style="4" bestFit="1" customWidth="1"/>
    <col min="10756" max="10756" width="7.28515625" style="4" customWidth="1"/>
    <col min="10757" max="10757" width="5.140625" style="4" bestFit="1" customWidth="1"/>
    <col min="10758" max="10758" width="2.140625" style="4" customWidth="1"/>
    <col min="10759" max="10759" width="21.5703125" style="4" customWidth="1"/>
    <col min="10760" max="10763" width="8.7109375" style="4" customWidth="1"/>
    <col min="10764" max="10770" width="8.7109375" style="4" bestFit="1" customWidth="1"/>
    <col min="10771" max="11008" width="9.140625" style="4"/>
    <col min="11009" max="11009" width="5.7109375" style="4" bestFit="1" customWidth="1"/>
    <col min="11010" max="11010" width="5" style="4" bestFit="1" customWidth="1"/>
    <col min="11011" max="11011" width="21" style="4" bestFit="1" customWidth="1"/>
    <col min="11012" max="11012" width="7.28515625" style="4" customWidth="1"/>
    <col min="11013" max="11013" width="5.140625" style="4" bestFit="1" customWidth="1"/>
    <col min="11014" max="11014" width="2.140625" style="4" customWidth="1"/>
    <col min="11015" max="11015" width="21.5703125" style="4" customWidth="1"/>
    <col min="11016" max="11019" width="8.7109375" style="4" customWidth="1"/>
    <col min="11020" max="11026" width="8.7109375" style="4" bestFit="1" customWidth="1"/>
    <col min="11027" max="11264" width="9.140625" style="4"/>
    <col min="11265" max="11265" width="5.7109375" style="4" bestFit="1" customWidth="1"/>
    <col min="11266" max="11266" width="5" style="4" bestFit="1" customWidth="1"/>
    <col min="11267" max="11267" width="21" style="4" bestFit="1" customWidth="1"/>
    <col min="11268" max="11268" width="7.28515625" style="4" customWidth="1"/>
    <col min="11269" max="11269" width="5.140625" style="4" bestFit="1" customWidth="1"/>
    <col min="11270" max="11270" width="2.140625" style="4" customWidth="1"/>
    <col min="11271" max="11271" width="21.5703125" style="4" customWidth="1"/>
    <col min="11272" max="11275" width="8.7109375" style="4" customWidth="1"/>
    <col min="11276" max="11282" width="8.7109375" style="4" bestFit="1" customWidth="1"/>
    <col min="11283" max="11520" width="9.140625" style="4"/>
    <col min="11521" max="11521" width="5.7109375" style="4" bestFit="1" customWidth="1"/>
    <col min="11522" max="11522" width="5" style="4" bestFit="1" customWidth="1"/>
    <col min="11523" max="11523" width="21" style="4" bestFit="1" customWidth="1"/>
    <col min="11524" max="11524" width="7.28515625" style="4" customWidth="1"/>
    <col min="11525" max="11525" width="5.140625" style="4" bestFit="1" customWidth="1"/>
    <col min="11526" max="11526" width="2.140625" style="4" customWidth="1"/>
    <col min="11527" max="11527" width="21.5703125" style="4" customWidth="1"/>
    <col min="11528" max="11531" width="8.7109375" style="4" customWidth="1"/>
    <col min="11532" max="11538" width="8.7109375" style="4" bestFit="1" customWidth="1"/>
    <col min="11539" max="11776" width="9.140625" style="4"/>
    <col min="11777" max="11777" width="5.7109375" style="4" bestFit="1" customWidth="1"/>
    <col min="11778" max="11778" width="5" style="4" bestFit="1" customWidth="1"/>
    <col min="11779" max="11779" width="21" style="4" bestFit="1" customWidth="1"/>
    <col min="11780" max="11780" width="7.28515625" style="4" customWidth="1"/>
    <col min="11781" max="11781" width="5.140625" style="4" bestFit="1" customWidth="1"/>
    <col min="11782" max="11782" width="2.140625" style="4" customWidth="1"/>
    <col min="11783" max="11783" width="21.5703125" style="4" customWidth="1"/>
    <col min="11784" max="11787" width="8.7109375" style="4" customWidth="1"/>
    <col min="11788" max="11794" width="8.7109375" style="4" bestFit="1" customWidth="1"/>
    <col min="11795" max="12032" width="9.140625" style="4"/>
    <col min="12033" max="12033" width="5.7109375" style="4" bestFit="1" customWidth="1"/>
    <col min="12034" max="12034" width="5" style="4" bestFit="1" customWidth="1"/>
    <col min="12035" max="12035" width="21" style="4" bestFit="1" customWidth="1"/>
    <col min="12036" max="12036" width="7.28515625" style="4" customWidth="1"/>
    <col min="12037" max="12037" width="5.140625" style="4" bestFit="1" customWidth="1"/>
    <col min="12038" max="12038" width="2.140625" style="4" customWidth="1"/>
    <col min="12039" max="12039" width="21.5703125" style="4" customWidth="1"/>
    <col min="12040" max="12043" width="8.7109375" style="4" customWidth="1"/>
    <col min="12044" max="12050" width="8.7109375" style="4" bestFit="1" customWidth="1"/>
    <col min="12051" max="12288" width="9.140625" style="4"/>
    <col min="12289" max="12289" width="5.7109375" style="4" bestFit="1" customWidth="1"/>
    <col min="12290" max="12290" width="5" style="4" bestFit="1" customWidth="1"/>
    <col min="12291" max="12291" width="21" style="4" bestFit="1" customWidth="1"/>
    <col min="12292" max="12292" width="7.28515625" style="4" customWidth="1"/>
    <col min="12293" max="12293" width="5.140625" style="4" bestFit="1" customWidth="1"/>
    <col min="12294" max="12294" width="2.140625" style="4" customWidth="1"/>
    <col min="12295" max="12295" width="21.5703125" style="4" customWidth="1"/>
    <col min="12296" max="12299" width="8.7109375" style="4" customWidth="1"/>
    <col min="12300" max="12306" width="8.7109375" style="4" bestFit="1" customWidth="1"/>
    <col min="12307" max="12544" width="9.140625" style="4"/>
    <col min="12545" max="12545" width="5.7109375" style="4" bestFit="1" customWidth="1"/>
    <col min="12546" max="12546" width="5" style="4" bestFit="1" customWidth="1"/>
    <col min="12547" max="12547" width="21" style="4" bestFit="1" customWidth="1"/>
    <col min="12548" max="12548" width="7.28515625" style="4" customWidth="1"/>
    <col min="12549" max="12549" width="5.140625" style="4" bestFit="1" customWidth="1"/>
    <col min="12550" max="12550" width="2.140625" style="4" customWidth="1"/>
    <col min="12551" max="12551" width="21.5703125" style="4" customWidth="1"/>
    <col min="12552" max="12555" width="8.7109375" style="4" customWidth="1"/>
    <col min="12556" max="12562" width="8.7109375" style="4" bestFit="1" customWidth="1"/>
    <col min="12563" max="12800" width="9.140625" style="4"/>
    <col min="12801" max="12801" width="5.7109375" style="4" bestFit="1" customWidth="1"/>
    <col min="12802" max="12802" width="5" style="4" bestFit="1" customWidth="1"/>
    <col min="12803" max="12803" width="21" style="4" bestFit="1" customWidth="1"/>
    <col min="12804" max="12804" width="7.28515625" style="4" customWidth="1"/>
    <col min="12805" max="12805" width="5.140625" style="4" bestFit="1" customWidth="1"/>
    <col min="12806" max="12806" width="2.140625" style="4" customWidth="1"/>
    <col min="12807" max="12807" width="21.5703125" style="4" customWidth="1"/>
    <col min="12808" max="12811" width="8.7109375" style="4" customWidth="1"/>
    <col min="12812" max="12818" width="8.7109375" style="4" bestFit="1" customWidth="1"/>
    <col min="12819" max="13056" width="9.140625" style="4"/>
    <col min="13057" max="13057" width="5.7109375" style="4" bestFit="1" customWidth="1"/>
    <col min="13058" max="13058" width="5" style="4" bestFit="1" customWidth="1"/>
    <col min="13059" max="13059" width="21" style="4" bestFit="1" customWidth="1"/>
    <col min="13060" max="13060" width="7.28515625" style="4" customWidth="1"/>
    <col min="13061" max="13061" width="5.140625" style="4" bestFit="1" customWidth="1"/>
    <col min="13062" max="13062" width="2.140625" style="4" customWidth="1"/>
    <col min="13063" max="13063" width="21.5703125" style="4" customWidth="1"/>
    <col min="13064" max="13067" width="8.7109375" style="4" customWidth="1"/>
    <col min="13068" max="13074" width="8.7109375" style="4" bestFit="1" customWidth="1"/>
    <col min="13075" max="13312" width="9.140625" style="4"/>
    <col min="13313" max="13313" width="5.7109375" style="4" bestFit="1" customWidth="1"/>
    <col min="13314" max="13314" width="5" style="4" bestFit="1" customWidth="1"/>
    <col min="13315" max="13315" width="21" style="4" bestFit="1" customWidth="1"/>
    <col min="13316" max="13316" width="7.28515625" style="4" customWidth="1"/>
    <col min="13317" max="13317" width="5.140625" style="4" bestFit="1" customWidth="1"/>
    <col min="13318" max="13318" width="2.140625" style="4" customWidth="1"/>
    <col min="13319" max="13319" width="21.5703125" style="4" customWidth="1"/>
    <col min="13320" max="13323" width="8.7109375" style="4" customWidth="1"/>
    <col min="13324" max="13330" width="8.7109375" style="4" bestFit="1" customWidth="1"/>
    <col min="13331" max="13568" width="9.140625" style="4"/>
    <col min="13569" max="13569" width="5.7109375" style="4" bestFit="1" customWidth="1"/>
    <col min="13570" max="13570" width="5" style="4" bestFit="1" customWidth="1"/>
    <col min="13571" max="13571" width="21" style="4" bestFit="1" customWidth="1"/>
    <col min="13572" max="13572" width="7.28515625" style="4" customWidth="1"/>
    <col min="13573" max="13573" width="5.140625" style="4" bestFit="1" customWidth="1"/>
    <col min="13574" max="13574" width="2.140625" style="4" customWidth="1"/>
    <col min="13575" max="13575" width="21.5703125" style="4" customWidth="1"/>
    <col min="13576" max="13579" width="8.7109375" style="4" customWidth="1"/>
    <col min="13580" max="13586" width="8.7109375" style="4" bestFit="1" customWidth="1"/>
    <col min="13587" max="13824" width="9.140625" style="4"/>
    <col min="13825" max="13825" width="5.7109375" style="4" bestFit="1" customWidth="1"/>
    <col min="13826" max="13826" width="5" style="4" bestFit="1" customWidth="1"/>
    <col min="13827" max="13827" width="21" style="4" bestFit="1" customWidth="1"/>
    <col min="13828" max="13828" width="7.28515625" style="4" customWidth="1"/>
    <col min="13829" max="13829" width="5.140625" style="4" bestFit="1" customWidth="1"/>
    <col min="13830" max="13830" width="2.140625" style="4" customWidth="1"/>
    <col min="13831" max="13831" width="21.5703125" style="4" customWidth="1"/>
    <col min="13832" max="13835" width="8.7109375" style="4" customWidth="1"/>
    <col min="13836" max="13842" width="8.7109375" style="4" bestFit="1" customWidth="1"/>
    <col min="13843" max="14080" width="9.140625" style="4"/>
    <col min="14081" max="14081" width="5.7109375" style="4" bestFit="1" customWidth="1"/>
    <col min="14082" max="14082" width="5" style="4" bestFit="1" customWidth="1"/>
    <col min="14083" max="14083" width="21" style="4" bestFit="1" customWidth="1"/>
    <col min="14084" max="14084" width="7.28515625" style="4" customWidth="1"/>
    <col min="14085" max="14085" width="5.140625" style="4" bestFit="1" customWidth="1"/>
    <col min="14086" max="14086" width="2.140625" style="4" customWidth="1"/>
    <col min="14087" max="14087" width="21.5703125" style="4" customWidth="1"/>
    <col min="14088" max="14091" width="8.7109375" style="4" customWidth="1"/>
    <col min="14092" max="14098" width="8.7109375" style="4" bestFit="1" customWidth="1"/>
    <col min="14099" max="14336" width="9.140625" style="4"/>
    <col min="14337" max="14337" width="5.7109375" style="4" bestFit="1" customWidth="1"/>
    <col min="14338" max="14338" width="5" style="4" bestFit="1" customWidth="1"/>
    <col min="14339" max="14339" width="21" style="4" bestFit="1" customWidth="1"/>
    <col min="14340" max="14340" width="7.28515625" style="4" customWidth="1"/>
    <col min="14341" max="14341" width="5.140625" style="4" bestFit="1" customWidth="1"/>
    <col min="14342" max="14342" width="2.140625" style="4" customWidth="1"/>
    <col min="14343" max="14343" width="21.5703125" style="4" customWidth="1"/>
    <col min="14344" max="14347" width="8.7109375" style="4" customWidth="1"/>
    <col min="14348" max="14354" width="8.7109375" style="4" bestFit="1" customWidth="1"/>
    <col min="14355" max="14592" width="9.140625" style="4"/>
    <col min="14593" max="14593" width="5.7109375" style="4" bestFit="1" customWidth="1"/>
    <col min="14594" max="14594" width="5" style="4" bestFit="1" customWidth="1"/>
    <col min="14595" max="14595" width="21" style="4" bestFit="1" customWidth="1"/>
    <col min="14596" max="14596" width="7.28515625" style="4" customWidth="1"/>
    <col min="14597" max="14597" width="5.140625" style="4" bestFit="1" customWidth="1"/>
    <col min="14598" max="14598" width="2.140625" style="4" customWidth="1"/>
    <col min="14599" max="14599" width="21.5703125" style="4" customWidth="1"/>
    <col min="14600" max="14603" width="8.7109375" style="4" customWidth="1"/>
    <col min="14604" max="14610" width="8.7109375" style="4" bestFit="1" customWidth="1"/>
    <col min="14611" max="14848" width="9.140625" style="4"/>
    <col min="14849" max="14849" width="5.7109375" style="4" bestFit="1" customWidth="1"/>
    <col min="14850" max="14850" width="5" style="4" bestFit="1" customWidth="1"/>
    <col min="14851" max="14851" width="21" style="4" bestFit="1" customWidth="1"/>
    <col min="14852" max="14852" width="7.28515625" style="4" customWidth="1"/>
    <col min="14853" max="14853" width="5.140625" style="4" bestFit="1" customWidth="1"/>
    <col min="14854" max="14854" width="2.140625" style="4" customWidth="1"/>
    <col min="14855" max="14855" width="21.5703125" style="4" customWidth="1"/>
    <col min="14856" max="14859" width="8.7109375" style="4" customWidth="1"/>
    <col min="14860" max="14866" width="8.7109375" style="4" bestFit="1" customWidth="1"/>
    <col min="14867" max="15104" width="9.140625" style="4"/>
    <col min="15105" max="15105" width="5.7109375" style="4" bestFit="1" customWidth="1"/>
    <col min="15106" max="15106" width="5" style="4" bestFit="1" customWidth="1"/>
    <col min="15107" max="15107" width="21" style="4" bestFit="1" customWidth="1"/>
    <col min="15108" max="15108" width="7.28515625" style="4" customWidth="1"/>
    <col min="15109" max="15109" width="5.140625" style="4" bestFit="1" customWidth="1"/>
    <col min="15110" max="15110" width="2.140625" style="4" customWidth="1"/>
    <col min="15111" max="15111" width="21.5703125" style="4" customWidth="1"/>
    <col min="15112" max="15115" width="8.7109375" style="4" customWidth="1"/>
    <col min="15116" max="15122" width="8.7109375" style="4" bestFit="1" customWidth="1"/>
    <col min="15123" max="15360" width="9.140625" style="4"/>
    <col min="15361" max="15361" width="5.7109375" style="4" bestFit="1" customWidth="1"/>
    <col min="15362" max="15362" width="5" style="4" bestFit="1" customWidth="1"/>
    <col min="15363" max="15363" width="21" style="4" bestFit="1" customWidth="1"/>
    <col min="15364" max="15364" width="7.28515625" style="4" customWidth="1"/>
    <col min="15365" max="15365" width="5.140625" style="4" bestFit="1" customWidth="1"/>
    <col min="15366" max="15366" width="2.140625" style="4" customWidth="1"/>
    <col min="15367" max="15367" width="21.5703125" style="4" customWidth="1"/>
    <col min="15368" max="15371" width="8.7109375" style="4" customWidth="1"/>
    <col min="15372" max="15378" width="8.7109375" style="4" bestFit="1" customWidth="1"/>
    <col min="15379" max="15616" width="9.140625" style="4"/>
    <col min="15617" max="15617" width="5.7109375" style="4" bestFit="1" customWidth="1"/>
    <col min="15618" max="15618" width="5" style="4" bestFit="1" customWidth="1"/>
    <col min="15619" max="15619" width="21" style="4" bestFit="1" customWidth="1"/>
    <col min="15620" max="15620" width="7.28515625" style="4" customWidth="1"/>
    <col min="15621" max="15621" width="5.140625" style="4" bestFit="1" customWidth="1"/>
    <col min="15622" max="15622" width="2.140625" style="4" customWidth="1"/>
    <col min="15623" max="15623" width="21.5703125" style="4" customWidth="1"/>
    <col min="15624" max="15627" width="8.7109375" style="4" customWidth="1"/>
    <col min="15628" max="15634" width="8.7109375" style="4" bestFit="1" customWidth="1"/>
    <col min="15635" max="15872" width="9.140625" style="4"/>
    <col min="15873" max="15873" width="5.7109375" style="4" bestFit="1" customWidth="1"/>
    <col min="15874" max="15874" width="5" style="4" bestFit="1" customWidth="1"/>
    <col min="15875" max="15875" width="21" style="4" bestFit="1" customWidth="1"/>
    <col min="15876" max="15876" width="7.28515625" style="4" customWidth="1"/>
    <col min="15877" max="15877" width="5.140625" style="4" bestFit="1" customWidth="1"/>
    <col min="15878" max="15878" width="2.140625" style="4" customWidth="1"/>
    <col min="15879" max="15879" width="21.5703125" style="4" customWidth="1"/>
    <col min="15880" max="15883" width="8.7109375" style="4" customWidth="1"/>
    <col min="15884" max="15890" width="8.7109375" style="4" bestFit="1" customWidth="1"/>
    <col min="15891" max="16128" width="9.140625" style="4"/>
    <col min="16129" max="16129" width="5.7109375" style="4" bestFit="1" customWidth="1"/>
    <col min="16130" max="16130" width="5" style="4" bestFit="1" customWidth="1"/>
    <col min="16131" max="16131" width="21" style="4" bestFit="1" customWidth="1"/>
    <col min="16132" max="16132" width="7.28515625" style="4" customWidth="1"/>
    <col min="16133" max="16133" width="5.140625" style="4" bestFit="1" customWidth="1"/>
    <col min="16134" max="16134" width="2.140625" style="4" customWidth="1"/>
    <col min="16135" max="16135" width="21.5703125" style="4" customWidth="1"/>
    <col min="16136" max="16139" width="8.7109375" style="4" customWidth="1"/>
    <col min="16140" max="16146" width="8.7109375" style="4" bestFit="1" customWidth="1"/>
    <col min="16147" max="16384" width="9.140625" style="4"/>
  </cols>
  <sheetData>
    <row r="1" spans="1:18" x14ac:dyDescent="0.2">
      <c r="A1" s="1"/>
      <c r="C1" s="3"/>
      <c r="D1" s="3"/>
      <c r="E1" s="1"/>
      <c r="F1" s="1"/>
      <c r="G1" s="4"/>
    </row>
    <row r="2" spans="1:18" x14ac:dyDescent="0.2">
      <c r="A2" s="3" t="s">
        <v>0</v>
      </c>
      <c r="B2" s="5" t="s">
        <v>1</v>
      </c>
      <c r="C2" s="3" t="s">
        <v>2</v>
      </c>
      <c r="D2" s="3"/>
      <c r="E2" s="1" t="s">
        <v>3</v>
      </c>
      <c r="F2" s="1"/>
      <c r="G2" s="601" t="s">
        <v>465</v>
      </c>
      <c r="H2" s="602" t="s">
        <v>466</v>
      </c>
      <c r="I2" s="603"/>
      <c r="J2" s="603"/>
      <c r="K2" s="1211" t="s">
        <v>6</v>
      </c>
      <c r="L2" s="1212"/>
      <c r="M2" s="1213" t="s">
        <v>467</v>
      </c>
      <c r="N2" s="1214"/>
      <c r="O2" s="1214"/>
      <c r="P2" s="1214"/>
      <c r="Q2" s="1214"/>
      <c r="R2" s="1215"/>
    </row>
    <row r="3" spans="1:18" x14ac:dyDescent="0.2">
      <c r="A3" s="1"/>
      <c r="B3" s="10"/>
      <c r="C3" s="3"/>
      <c r="D3" s="3"/>
      <c r="E3" s="1"/>
      <c r="F3" s="1"/>
      <c r="G3" s="604" t="s">
        <v>7</v>
      </c>
      <c r="H3" s="208">
        <v>40908</v>
      </c>
      <c r="I3" s="208">
        <v>41274</v>
      </c>
      <c r="J3" s="208">
        <v>41639</v>
      </c>
      <c r="K3" s="208">
        <v>42004</v>
      </c>
      <c r="L3" s="605">
        <v>42369</v>
      </c>
      <c r="M3" s="605">
        <v>42735</v>
      </c>
      <c r="N3" s="605">
        <v>43100</v>
      </c>
      <c r="O3" s="605">
        <v>43465</v>
      </c>
      <c r="P3" s="605">
        <v>43830</v>
      </c>
      <c r="Q3" s="605">
        <v>44196</v>
      </c>
      <c r="R3" s="605">
        <v>44561</v>
      </c>
    </row>
    <row r="4" spans="1:18" x14ac:dyDescent="0.2">
      <c r="A4" s="13"/>
      <c r="B4" s="2" t="s">
        <v>8</v>
      </c>
      <c r="C4" s="3">
        <v>1</v>
      </c>
      <c r="D4" s="3"/>
      <c r="E4" s="5"/>
      <c r="F4" s="13"/>
      <c r="G4" s="606" t="s">
        <v>9</v>
      </c>
      <c r="H4" s="607">
        <f t="shared" ref="H4:R4" si="0">H5+H10</f>
        <v>0</v>
      </c>
      <c r="I4" s="607">
        <f t="shared" si="0"/>
        <v>0</v>
      </c>
      <c r="J4" s="607">
        <f t="shared" si="0"/>
        <v>0</v>
      </c>
      <c r="K4" s="607">
        <f t="shared" si="0"/>
        <v>0</v>
      </c>
      <c r="L4" s="607">
        <f t="shared" si="0"/>
        <v>0</v>
      </c>
      <c r="M4" s="607">
        <f t="shared" si="0"/>
        <v>2418</v>
      </c>
      <c r="N4" s="607">
        <f t="shared" si="0"/>
        <v>2333</v>
      </c>
      <c r="O4" s="607">
        <f t="shared" si="0"/>
        <v>2554</v>
      </c>
      <c r="P4" s="607">
        <f t="shared" si="0"/>
        <v>2783</v>
      </c>
      <c r="Q4" s="607">
        <f t="shared" si="0"/>
        <v>3158</v>
      </c>
      <c r="R4" s="607">
        <f t="shared" si="0"/>
        <v>3458</v>
      </c>
    </row>
    <row r="5" spans="1:18" x14ac:dyDescent="0.2">
      <c r="B5" s="2" t="s">
        <v>10</v>
      </c>
      <c r="C5" s="3">
        <v>10</v>
      </c>
      <c r="D5" s="3"/>
      <c r="G5" s="18" t="s">
        <v>11</v>
      </c>
      <c r="H5" s="607">
        <f t="shared" ref="H5:Q5" si="1">SUM(H6:H9)</f>
        <v>0</v>
      </c>
      <c r="I5" s="607">
        <f t="shared" si="1"/>
        <v>0</v>
      </c>
      <c r="J5" s="607">
        <f t="shared" si="1"/>
        <v>0</v>
      </c>
      <c r="K5" s="607">
        <f t="shared" si="1"/>
        <v>0</v>
      </c>
      <c r="L5" s="607">
        <f t="shared" si="1"/>
        <v>0</v>
      </c>
      <c r="M5" s="607">
        <f t="shared" si="1"/>
        <v>1522</v>
      </c>
      <c r="N5" s="607">
        <f t="shared" si="1"/>
        <v>1365</v>
      </c>
      <c r="O5" s="607">
        <f t="shared" si="1"/>
        <v>1493</v>
      </c>
      <c r="P5" s="607">
        <f t="shared" si="1"/>
        <v>1355</v>
      </c>
      <c r="Q5" s="607">
        <f t="shared" si="1"/>
        <v>1673</v>
      </c>
      <c r="R5" s="607">
        <f>SUM(R6:R9)</f>
        <v>1916</v>
      </c>
    </row>
    <row r="6" spans="1:18" ht="12" x14ac:dyDescent="0.2">
      <c r="B6" s="2" t="s">
        <v>12</v>
      </c>
      <c r="C6" s="19" t="s">
        <v>13</v>
      </c>
      <c r="E6" s="20" t="s">
        <v>14</v>
      </c>
      <c r="G6" s="18" t="s">
        <v>15</v>
      </c>
      <c r="H6" s="608">
        <v>0</v>
      </c>
      <c r="I6" s="608">
        <v>0</v>
      </c>
      <c r="J6" s="608">
        <v>0</v>
      </c>
      <c r="K6" s="608">
        <v>0</v>
      </c>
      <c r="L6" s="608"/>
      <c r="M6" s="608">
        <v>1413</v>
      </c>
      <c r="N6" s="608">
        <v>1313</v>
      </c>
      <c r="O6" s="608">
        <v>1443</v>
      </c>
      <c r="P6" s="608">
        <v>1295</v>
      </c>
      <c r="Q6" s="608">
        <v>1623</v>
      </c>
      <c r="R6" s="608">
        <v>1866</v>
      </c>
    </row>
    <row r="7" spans="1:18" ht="12" x14ac:dyDescent="0.2">
      <c r="B7" s="2" t="s">
        <v>16</v>
      </c>
      <c r="C7" s="19" t="s">
        <v>17</v>
      </c>
      <c r="E7" s="20" t="s">
        <v>14</v>
      </c>
      <c r="G7" s="18" t="s">
        <v>18</v>
      </c>
      <c r="H7" s="608">
        <v>0</v>
      </c>
      <c r="I7" s="608">
        <v>0</v>
      </c>
      <c r="J7" s="608">
        <v>0</v>
      </c>
      <c r="K7" s="608">
        <v>0</v>
      </c>
      <c r="L7" s="608"/>
      <c r="M7" s="608">
        <v>109</v>
      </c>
      <c r="N7" s="608">
        <v>52</v>
      </c>
      <c r="O7" s="608">
        <v>50</v>
      </c>
      <c r="P7" s="608">
        <v>60</v>
      </c>
      <c r="Q7" s="608">
        <v>50</v>
      </c>
      <c r="R7" s="608">
        <v>50</v>
      </c>
    </row>
    <row r="8" spans="1:18" ht="12" x14ac:dyDescent="0.2">
      <c r="B8" s="2" t="s">
        <v>19</v>
      </c>
      <c r="C8" s="19" t="s">
        <v>20</v>
      </c>
      <c r="E8" s="20" t="s">
        <v>14</v>
      </c>
      <c r="G8" s="18" t="s">
        <v>21</v>
      </c>
      <c r="H8" s="608">
        <v>0</v>
      </c>
      <c r="I8" s="608">
        <v>0</v>
      </c>
      <c r="J8" s="608">
        <v>0</v>
      </c>
      <c r="K8" s="608">
        <v>0</v>
      </c>
      <c r="L8" s="608"/>
      <c r="M8" s="608">
        <v>0</v>
      </c>
      <c r="N8" s="608">
        <v>0</v>
      </c>
      <c r="O8" s="608">
        <v>0</v>
      </c>
      <c r="P8" s="608">
        <v>0</v>
      </c>
      <c r="Q8" s="608">
        <v>0</v>
      </c>
      <c r="R8" s="608">
        <v>0</v>
      </c>
    </row>
    <row r="9" spans="1:18" ht="15" x14ac:dyDescent="0.25">
      <c r="B9" s="2" t="s">
        <v>22</v>
      </c>
      <c r="C9" s="19">
        <v>108</v>
      </c>
      <c r="E9" s="22"/>
      <c r="G9" s="18" t="s">
        <v>23</v>
      </c>
      <c r="H9" s="608">
        <v>0</v>
      </c>
      <c r="I9" s="608">
        <v>0</v>
      </c>
      <c r="J9" s="608">
        <v>0</v>
      </c>
      <c r="K9" s="608">
        <v>0</v>
      </c>
      <c r="L9" s="608">
        <v>0</v>
      </c>
      <c r="M9" s="608">
        <v>0</v>
      </c>
      <c r="N9" s="608">
        <v>0</v>
      </c>
      <c r="O9" s="608">
        <v>0</v>
      </c>
      <c r="P9" s="608">
        <v>0</v>
      </c>
      <c r="Q9" s="608">
        <v>0</v>
      </c>
      <c r="R9" s="608">
        <v>0</v>
      </c>
    </row>
    <row r="10" spans="1:18" x14ac:dyDescent="0.2">
      <c r="A10" s="23"/>
      <c r="B10" s="2" t="s">
        <v>24</v>
      </c>
      <c r="C10" s="24">
        <v>15</v>
      </c>
      <c r="D10" s="24"/>
      <c r="E10" s="22"/>
      <c r="F10" s="23"/>
      <c r="G10" s="18" t="s">
        <v>25</v>
      </c>
      <c r="H10" s="607">
        <f>SUM(H11:H16)</f>
        <v>0</v>
      </c>
      <c r="I10" s="607">
        <f t="shared" ref="I10:R10" si="2">SUM(I11:I16)</f>
        <v>0</v>
      </c>
      <c r="J10" s="607">
        <f t="shared" si="2"/>
        <v>0</v>
      </c>
      <c r="K10" s="607">
        <f t="shared" si="2"/>
        <v>0</v>
      </c>
      <c r="L10" s="607">
        <f t="shared" si="2"/>
        <v>0</v>
      </c>
      <c r="M10" s="607">
        <f t="shared" si="2"/>
        <v>896</v>
      </c>
      <c r="N10" s="607">
        <f t="shared" si="2"/>
        <v>968</v>
      </c>
      <c r="O10" s="607">
        <f t="shared" si="2"/>
        <v>1061</v>
      </c>
      <c r="P10" s="607">
        <f t="shared" si="2"/>
        <v>1428</v>
      </c>
      <c r="Q10" s="607">
        <f t="shared" si="2"/>
        <v>1485</v>
      </c>
      <c r="R10" s="607">
        <f t="shared" si="2"/>
        <v>1542</v>
      </c>
    </row>
    <row r="11" spans="1:18" ht="12" x14ac:dyDescent="0.2">
      <c r="A11" s="23"/>
      <c r="B11" s="2" t="s">
        <v>26</v>
      </c>
      <c r="C11" s="24">
        <v>150</v>
      </c>
      <c r="D11" s="24"/>
      <c r="E11" s="20" t="s">
        <v>14</v>
      </c>
      <c r="F11" s="23"/>
      <c r="G11" s="18" t="s">
        <v>27</v>
      </c>
      <c r="H11" s="608">
        <v>0</v>
      </c>
      <c r="I11" s="608">
        <v>0</v>
      </c>
      <c r="J11" s="608">
        <v>0</v>
      </c>
      <c r="K11" s="608">
        <v>0</v>
      </c>
      <c r="L11" s="608">
        <v>0</v>
      </c>
      <c r="M11" s="608">
        <v>0</v>
      </c>
      <c r="N11" s="608">
        <v>0</v>
      </c>
      <c r="O11" s="608">
        <v>0</v>
      </c>
      <c r="P11" s="608">
        <v>0</v>
      </c>
      <c r="Q11" s="608">
        <v>0</v>
      </c>
      <c r="R11" s="608">
        <v>0</v>
      </c>
    </row>
    <row r="12" spans="1:18" ht="12" x14ac:dyDescent="0.2">
      <c r="A12" s="23"/>
      <c r="B12" s="2" t="s">
        <v>28</v>
      </c>
      <c r="C12" s="24">
        <v>151</v>
      </c>
      <c r="D12" s="24"/>
      <c r="E12" s="20" t="s">
        <v>14</v>
      </c>
      <c r="F12" s="23"/>
      <c r="G12" s="18" t="s">
        <v>29</v>
      </c>
      <c r="H12" s="608">
        <v>0</v>
      </c>
      <c r="I12" s="608">
        <v>0</v>
      </c>
      <c r="J12" s="608">
        <v>0</v>
      </c>
      <c r="K12" s="608">
        <v>0</v>
      </c>
      <c r="L12" s="608">
        <v>0</v>
      </c>
      <c r="M12" s="608">
        <v>0</v>
      </c>
      <c r="N12" s="608">
        <v>0</v>
      </c>
      <c r="O12" s="608">
        <v>0</v>
      </c>
      <c r="P12" s="608">
        <v>0</v>
      </c>
      <c r="Q12" s="608">
        <v>0</v>
      </c>
      <c r="R12" s="608">
        <v>0</v>
      </c>
    </row>
    <row r="13" spans="1:18" ht="12" x14ac:dyDescent="0.2">
      <c r="B13" s="2" t="s">
        <v>30</v>
      </c>
      <c r="C13" s="19" t="s">
        <v>31</v>
      </c>
      <c r="E13" s="20" t="s">
        <v>14</v>
      </c>
      <c r="G13" s="18" t="s">
        <v>32</v>
      </c>
      <c r="H13" s="608">
        <v>0</v>
      </c>
      <c r="I13" s="608">
        <v>0</v>
      </c>
      <c r="J13" s="608">
        <v>0</v>
      </c>
      <c r="K13" s="608">
        <v>0</v>
      </c>
      <c r="L13" s="608">
        <v>0</v>
      </c>
      <c r="M13" s="608">
        <v>0</v>
      </c>
      <c r="N13" s="608">
        <v>0</v>
      </c>
      <c r="O13" s="608">
        <v>0</v>
      </c>
      <c r="P13" s="608">
        <v>0</v>
      </c>
      <c r="Q13" s="608">
        <v>0</v>
      </c>
      <c r="R13" s="608">
        <v>0</v>
      </c>
    </row>
    <row r="14" spans="1:18" ht="12" x14ac:dyDescent="0.2">
      <c r="B14" s="2" t="s">
        <v>33</v>
      </c>
      <c r="C14" s="19">
        <v>154</v>
      </c>
      <c r="E14" s="20" t="s">
        <v>14</v>
      </c>
      <c r="G14" s="18" t="s">
        <v>34</v>
      </c>
      <c r="H14" s="608">
        <v>0</v>
      </c>
      <c r="I14" s="608">
        <v>0</v>
      </c>
      <c r="J14" s="608">
        <v>0</v>
      </c>
      <c r="K14" s="608">
        <v>0</v>
      </c>
      <c r="L14" s="608">
        <v>0</v>
      </c>
      <c r="M14" s="608">
        <v>0</v>
      </c>
      <c r="N14" s="608">
        <v>0</v>
      </c>
      <c r="O14" s="608">
        <v>0</v>
      </c>
      <c r="P14" s="608">
        <v>0</v>
      </c>
      <c r="Q14" s="608">
        <v>0</v>
      </c>
      <c r="R14" s="608">
        <v>0</v>
      </c>
    </row>
    <row r="15" spans="1:18" ht="12" x14ac:dyDescent="0.2">
      <c r="B15" s="2" t="s">
        <v>35</v>
      </c>
      <c r="C15" s="19" t="s">
        <v>36</v>
      </c>
      <c r="E15" s="20" t="s">
        <v>14</v>
      </c>
      <c r="G15" s="18" t="s">
        <v>37</v>
      </c>
      <c r="H15" s="608">
        <v>0</v>
      </c>
      <c r="I15" s="608">
        <v>0</v>
      </c>
      <c r="J15" s="608">
        <v>0</v>
      </c>
      <c r="K15" s="608">
        <v>0</v>
      </c>
      <c r="L15" s="608"/>
      <c r="M15" s="609">
        <v>896</v>
      </c>
      <c r="N15" s="608">
        <f>M15+82-10</f>
        <v>968</v>
      </c>
      <c r="O15" s="608">
        <f>N15+66-O45</f>
        <v>1061</v>
      </c>
      <c r="P15" s="608">
        <f>O15+330-P45</f>
        <v>1428</v>
      </c>
      <c r="Q15" s="608">
        <f>P15+20-Q45</f>
        <v>1485</v>
      </c>
      <c r="R15" s="608">
        <f>Q15+20-R45</f>
        <v>1542</v>
      </c>
    </row>
    <row r="16" spans="1:18" ht="12" x14ac:dyDescent="0.2">
      <c r="B16" s="2" t="s">
        <v>38</v>
      </c>
      <c r="C16" s="19">
        <v>157</v>
      </c>
      <c r="E16" s="20" t="s">
        <v>14</v>
      </c>
      <c r="G16" s="18" t="s">
        <v>39</v>
      </c>
      <c r="H16" s="608">
        <v>0</v>
      </c>
      <c r="I16" s="608">
        <v>0</v>
      </c>
      <c r="J16" s="608">
        <v>0</v>
      </c>
      <c r="K16" s="608">
        <v>0</v>
      </c>
      <c r="L16" s="608">
        <v>0</v>
      </c>
      <c r="M16" s="608">
        <v>0</v>
      </c>
      <c r="N16" s="608">
        <v>0</v>
      </c>
      <c r="O16" s="608">
        <v>0</v>
      </c>
      <c r="P16" s="608">
        <v>0</v>
      </c>
      <c r="Q16" s="608">
        <v>0</v>
      </c>
      <c r="R16" s="608">
        <v>0</v>
      </c>
    </row>
    <row r="17" spans="1:19" s="29" customFormat="1" ht="12" x14ac:dyDescent="0.2">
      <c r="A17" s="25"/>
      <c r="B17" s="2" t="s">
        <v>40</v>
      </c>
      <c r="C17" s="25" t="s">
        <v>41</v>
      </c>
      <c r="D17" s="25"/>
      <c r="E17" s="20" t="s">
        <v>14</v>
      </c>
      <c r="F17" s="26"/>
      <c r="G17" s="27" t="s">
        <v>42</v>
      </c>
      <c r="H17" s="610">
        <v>0</v>
      </c>
      <c r="I17" s="610">
        <v>0</v>
      </c>
      <c r="J17" s="610">
        <v>0</v>
      </c>
      <c r="K17" s="610">
        <v>0</v>
      </c>
      <c r="L17" s="610">
        <v>0</v>
      </c>
      <c r="M17" s="610">
        <v>0</v>
      </c>
      <c r="N17" s="610">
        <v>0</v>
      </c>
      <c r="O17" s="610">
        <v>0</v>
      </c>
      <c r="P17" s="610">
        <v>0</v>
      </c>
      <c r="Q17" s="610">
        <v>0</v>
      </c>
      <c r="R17" s="610">
        <v>0</v>
      </c>
      <c r="S17" s="4"/>
    </row>
    <row r="18" spans="1:19" x14ac:dyDescent="0.2">
      <c r="B18" s="2" t="s">
        <v>43</v>
      </c>
      <c r="C18" s="19">
        <v>2</v>
      </c>
      <c r="E18" s="22"/>
      <c r="G18" s="18" t="s">
        <v>44</v>
      </c>
      <c r="H18" s="607">
        <f>H19+H27</f>
        <v>0</v>
      </c>
      <c r="I18" s="607">
        <f t="shared" ref="I18:R18" si="3">I19+I27</f>
        <v>0</v>
      </c>
      <c r="J18" s="607">
        <f t="shared" si="3"/>
        <v>0</v>
      </c>
      <c r="K18" s="607">
        <f t="shared" si="3"/>
        <v>0</v>
      </c>
      <c r="L18" s="607">
        <f t="shared" si="3"/>
        <v>0</v>
      </c>
      <c r="M18" s="607">
        <f t="shared" si="3"/>
        <v>2418</v>
      </c>
      <c r="N18" s="607">
        <f t="shared" si="3"/>
        <v>2333</v>
      </c>
      <c r="O18" s="607">
        <f t="shared" si="3"/>
        <v>2554</v>
      </c>
      <c r="P18" s="607">
        <f t="shared" si="3"/>
        <v>2783</v>
      </c>
      <c r="Q18" s="607">
        <f t="shared" si="3"/>
        <v>3158</v>
      </c>
      <c r="R18" s="607">
        <f t="shared" si="3"/>
        <v>3458</v>
      </c>
    </row>
    <row r="19" spans="1:19" x14ac:dyDescent="0.2">
      <c r="B19" s="2" t="s">
        <v>45</v>
      </c>
      <c r="C19" s="19" t="s">
        <v>46</v>
      </c>
      <c r="E19" s="22"/>
      <c r="G19" s="18" t="s">
        <v>47</v>
      </c>
      <c r="H19" s="607">
        <f>SUM(H21:H26)</f>
        <v>0</v>
      </c>
      <c r="I19" s="607">
        <f t="shared" ref="I19:R19" si="4">SUM(I21:I26)</f>
        <v>0</v>
      </c>
      <c r="J19" s="607">
        <f t="shared" si="4"/>
        <v>0</v>
      </c>
      <c r="K19" s="607">
        <f t="shared" si="4"/>
        <v>0</v>
      </c>
      <c r="L19" s="607">
        <f t="shared" si="4"/>
        <v>0</v>
      </c>
      <c r="M19" s="607">
        <f t="shared" si="4"/>
        <v>496</v>
      </c>
      <c r="N19" s="607">
        <f t="shared" si="4"/>
        <v>430</v>
      </c>
      <c r="O19" s="607">
        <f t="shared" si="4"/>
        <v>415</v>
      </c>
      <c r="P19" s="607">
        <f t="shared" si="4"/>
        <v>350</v>
      </c>
      <c r="Q19" s="607">
        <f t="shared" si="4"/>
        <v>350</v>
      </c>
      <c r="R19" s="607">
        <f t="shared" si="4"/>
        <v>300</v>
      </c>
    </row>
    <row r="20" spans="1:19" s="32" customFormat="1" ht="12" x14ac:dyDescent="0.2">
      <c r="A20" s="30"/>
      <c r="B20" s="2" t="s">
        <v>48</v>
      </c>
      <c r="C20" s="25" t="s">
        <v>49</v>
      </c>
      <c r="D20" s="25"/>
      <c r="E20" s="20" t="s">
        <v>14</v>
      </c>
      <c r="F20" s="30"/>
      <c r="G20" s="27" t="s">
        <v>50</v>
      </c>
      <c r="H20" s="611">
        <v>0</v>
      </c>
      <c r="I20" s="611">
        <v>0</v>
      </c>
      <c r="J20" s="611">
        <v>0</v>
      </c>
      <c r="K20" s="611">
        <v>0</v>
      </c>
      <c r="L20" s="611">
        <v>0</v>
      </c>
      <c r="M20" s="611">
        <v>0</v>
      </c>
      <c r="N20" s="611">
        <v>0</v>
      </c>
      <c r="O20" s="611">
        <v>0</v>
      </c>
      <c r="P20" s="611">
        <v>0</v>
      </c>
      <c r="Q20" s="611">
        <v>0</v>
      </c>
      <c r="R20" s="611">
        <v>0</v>
      </c>
    </row>
    <row r="21" spans="1:19" ht="12" x14ac:dyDescent="0.2">
      <c r="B21" s="2" t="s">
        <v>51</v>
      </c>
      <c r="C21" s="33" t="s">
        <v>52</v>
      </c>
      <c r="D21" s="33"/>
      <c r="E21" s="20" t="s">
        <v>14</v>
      </c>
      <c r="G21" s="18" t="s">
        <v>53</v>
      </c>
      <c r="H21" s="608">
        <v>0</v>
      </c>
      <c r="I21" s="608">
        <v>0</v>
      </c>
      <c r="J21" s="608">
        <v>0</v>
      </c>
      <c r="K21" s="608">
        <v>0</v>
      </c>
      <c r="L21" s="608"/>
      <c r="M21" s="608">
        <v>496</v>
      </c>
      <c r="N21" s="608">
        <v>430</v>
      </c>
      <c r="O21" s="608">
        <v>415</v>
      </c>
      <c r="P21" s="608">
        <v>350</v>
      </c>
      <c r="Q21" s="608">
        <v>350</v>
      </c>
      <c r="R21" s="608">
        <v>300</v>
      </c>
    </row>
    <row r="22" spans="1:19" ht="12" x14ac:dyDescent="0.2">
      <c r="B22" s="2" t="s">
        <v>54</v>
      </c>
      <c r="C22" s="19" t="s">
        <v>55</v>
      </c>
      <c r="E22" s="20" t="s">
        <v>14</v>
      </c>
      <c r="G22" s="18" t="s">
        <v>56</v>
      </c>
      <c r="H22" s="608">
        <v>0</v>
      </c>
      <c r="I22" s="608">
        <v>0</v>
      </c>
      <c r="J22" s="608">
        <v>0</v>
      </c>
      <c r="K22" s="608">
        <v>0</v>
      </c>
      <c r="L22" s="608">
        <v>0</v>
      </c>
      <c r="M22" s="608">
        <v>0</v>
      </c>
      <c r="N22" s="608">
        <v>0</v>
      </c>
      <c r="O22" s="608">
        <v>0</v>
      </c>
      <c r="P22" s="608">
        <v>0</v>
      </c>
      <c r="Q22" s="608">
        <v>0</v>
      </c>
      <c r="R22" s="608">
        <v>0</v>
      </c>
    </row>
    <row r="23" spans="1:19" ht="12" x14ac:dyDescent="0.2">
      <c r="B23" s="2" t="s">
        <v>57</v>
      </c>
      <c r="C23" s="19">
        <v>257</v>
      </c>
      <c r="E23" s="20" t="s">
        <v>14</v>
      </c>
      <c r="G23" s="18" t="s">
        <v>58</v>
      </c>
      <c r="H23" s="608">
        <v>0</v>
      </c>
      <c r="I23" s="608">
        <v>0</v>
      </c>
      <c r="J23" s="608">
        <v>0</v>
      </c>
      <c r="K23" s="608">
        <v>0</v>
      </c>
      <c r="L23" s="608">
        <v>0</v>
      </c>
      <c r="M23" s="608">
        <v>0</v>
      </c>
      <c r="N23" s="608">
        <v>0</v>
      </c>
      <c r="O23" s="608">
        <v>0</v>
      </c>
      <c r="P23" s="608">
        <v>0</v>
      </c>
      <c r="Q23" s="608">
        <v>0</v>
      </c>
      <c r="R23" s="608">
        <v>0</v>
      </c>
    </row>
    <row r="24" spans="1:19" ht="12" x14ac:dyDescent="0.2">
      <c r="A24" s="34"/>
      <c r="B24" s="2" t="s">
        <v>59</v>
      </c>
      <c r="C24" s="19" t="s">
        <v>60</v>
      </c>
      <c r="E24" s="20" t="s">
        <v>14</v>
      </c>
      <c r="F24" s="34"/>
      <c r="G24" s="18" t="s">
        <v>61</v>
      </c>
      <c r="H24" s="608">
        <v>0</v>
      </c>
      <c r="I24" s="608">
        <v>0</v>
      </c>
      <c r="J24" s="608">
        <v>0</v>
      </c>
      <c r="K24" s="608">
        <v>0</v>
      </c>
      <c r="L24" s="608">
        <v>0</v>
      </c>
      <c r="M24" s="608">
        <v>0</v>
      </c>
      <c r="N24" s="608">
        <v>0</v>
      </c>
      <c r="O24" s="608">
        <v>0</v>
      </c>
      <c r="P24" s="608">
        <v>0</v>
      </c>
      <c r="Q24" s="608">
        <v>0</v>
      </c>
      <c r="R24" s="608">
        <v>0</v>
      </c>
    </row>
    <row r="25" spans="1:19" ht="12" x14ac:dyDescent="0.2">
      <c r="A25" s="34"/>
      <c r="B25" s="2" t="s">
        <v>62</v>
      </c>
      <c r="C25" s="19" t="s">
        <v>63</v>
      </c>
      <c r="E25" s="20" t="s">
        <v>14</v>
      </c>
      <c r="F25" s="34"/>
      <c r="G25" s="18" t="s">
        <v>64</v>
      </c>
      <c r="H25" s="608">
        <v>0</v>
      </c>
      <c r="I25" s="608">
        <v>0</v>
      </c>
      <c r="J25" s="608">
        <v>0</v>
      </c>
      <c r="K25" s="608">
        <v>0</v>
      </c>
      <c r="L25" s="608">
        <v>0</v>
      </c>
      <c r="M25" s="608">
        <v>0</v>
      </c>
      <c r="N25" s="608">
        <v>0</v>
      </c>
      <c r="O25" s="608">
        <v>0</v>
      </c>
      <c r="P25" s="608">
        <v>0</v>
      </c>
      <c r="Q25" s="608">
        <v>0</v>
      </c>
      <c r="R25" s="608">
        <v>0</v>
      </c>
    </row>
    <row r="26" spans="1:19" ht="12" x14ac:dyDescent="0.2">
      <c r="B26" s="2" t="s">
        <v>65</v>
      </c>
      <c r="C26" s="19">
        <v>28</v>
      </c>
      <c r="E26" s="20" t="s">
        <v>14</v>
      </c>
      <c r="G26" s="18" t="s">
        <v>66</v>
      </c>
      <c r="H26" s="608">
        <v>0</v>
      </c>
      <c r="I26" s="608">
        <v>0</v>
      </c>
      <c r="J26" s="608">
        <v>0</v>
      </c>
      <c r="K26" s="608">
        <v>0</v>
      </c>
      <c r="L26" s="608">
        <v>0</v>
      </c>
      <c r="M26" s="608">
        <v>0</v>
      </c>
      <c r="N26" s="608">
        <v>0</v>
      </c>
      <c r="O26" s="608">
        <v>0</v>
      </c>
      <c r="P26" s="608">
        <v>0</v>
      </c>
      <c r="Q26" s="608">
        <v>0</v>
      </c>
      <c r="R26" s="608">
        <v>0</v>
      </c>
    </row>
    <row r="27" spans="1:19" x14ac:dyDescent="0.2">
      <c r="B27" s="2" t="s">
        <v>67</v>
      </c>
      <c r="C27" s="19">
        <v>29</v>
      </c>
      <c r="E27" s="22"/>
      <c r="G27" s="18" t="s">
        <v>68</v>
      </c>
      <c r="H27" s="607">
        <f>SUM(H28:H30)</f>
        <v>0</v>
      </c>
      <c r="I27" s="607">
        <f t="shared" ref="I27:R27" si="5">SUM(I28:I30)</f>
        <v>0</v>
      </c>
      <c r="J27" s="607">
        <f t="shared" si="5"/>
        <v>0</v>
      </c>
      <c r="K27" s="607">
        <f t="shared" si="5"/>
        <v>0</v>
      </c>
      <c r="L27" s="607">
        <f t="shared" si="5"/>
        <v>0</v>
      </c>
      <c r="M27" s="607">
        <f t="shared" si="5"/>
        <v>1922</v>
      </c>
      <c r="N27" s="607">
        <f t="shared" si="5"/>
        <v>1903</v>
      </c>
      <c r="O27" s="607">
        <f t="shared" si="5"/>
        <v>2139</v>
      </c>
      <c r="P27" s="607">
        <f t="shared" si="5"/>
        <v>2433</v>
      </c>
      <c r="Q27" s="607">
        <f t="shared" si="5"/>
        <v>2808</v>
      </c>
      <c r="R27" s="607">
        <f t="shared" si="5"/>
        <v>3158</v>
      </c>
    </row>
    <row r="28" spans="1:19" ht="12" x14ac:dyDescent="0.2">
      <c r="B28" s="2" t="s">
        <v>69</v>
      </c>
      <c r="C28" s="16" t="s">
        <v>70</v>
      </c>
      <c r="D28" s="16"/>
      <c r="E28" s="20" t="s">
        <v>14</v>
      </c>
      <c r="G28" s="18" t="s">
        <v>71</v>
      </c>
      <c r="H28" s="608">
        <v>0</v>
      </c>
      <c r="I28" s="608">
        <v>0</v>
      </c>
      <c r="J28" s="608">
        <v>0</v>
      </c>
      <c r="K28" s="608">
        <v>0</v>
      </c>
      <c r="L28" s="608">
        <v>0</v>
      </c>
      <c r="M28" s="609">
        <v>680</v>
      </c>
      <c r="N28" s="608">
        <v>680</v>
      </c>
      <c r="O28" s="608">
        <v>680</v>
      </c>
      <c r="P28" s="608">
        <v>680</v>
      </c>
      <c r="Q28" s="608">
        <v>680</v>
      </c>
      <c r="R28" s="608">
        <v>680</v>
      </c>
      <c r="S28" s="612"/>
    </row>
    <row r="29" spans="1:19" ht="12" x14ac:dyDescent="0.2">
      <c r="B29" s="2" t="s">
        <v>72</v>
      </c>
      <c r="C29" s="19">
        <v>298</v>
      </c>
      <c r="E29" s="20" t="s">
        <v>14</v>
      </c>
      <c r="G29" s="18" t="s">
        <v>73</v>
      </c>
      <c r="H29" s="608">
        <v>0</v>
      </c>
      <c r="I29" s="608">
        <v>0</v>
      </c>
      <c r="J29" s="608">
        <v>0</v>
      </c>
      <c r="K29" s="608">
        <v>0</v>
      </c>
      <c r="L29" s="608"/>
      <c r="M29" s="609">
        <v>809</v>
      </c>
      <c r="N29" s="608">
        <f>M30+M29</f>
        <v>1242</v>
      </c>
      <c r="O29" s="608">
        <f>N30+N29</f>
        <v>1223</v>
      </c>
      <c r="P29" s="608">
        <f>O30+O29</f>
        <v>1459</v>
      </c>
      <c r="Q29" s="608">
        <f>P30+P29</f>
        <v>1753</v>
      </c>
      <c r="R29" s="608">
        <f>Q30+Q29</f>
        <v>2128</v>
      </c>
    </row>
    <row r="30" spans="1:19" ht="12" x14ac:dyDescent="0.2">
      <c r="B30" s="2" t="s">
        <v>74</v>
      </c>
      <c r="C30" s="19">
        <v>299</v>
      </c>
      <c r="E30" s="20" t="s">
        <v>75</v>
      </c>
      <c r="G30" s="18" t="s">
        <v>76</v>
      </c>
      <c r="H30" s="608">
        <v>0</v>
      </c>
      <c r="I30" s="608">
        <v>0</v>
      </c>
      <c r="J30" s="608">
        <v>0</v>
      </c>
      <c r="K30" s="608">
        <v>0</v>
      </c>
      <c r="L30" s="608"/>
      <c r="M30" s="608">
        <v>433</v>
      </c>
      <c r="N30" s="608">
        <v>-19</v>
      </c>
      <c r="O30" s="608">
        <v>236</v>
      </c>
      <c r="P30" s="608">
        <v>294</v>
      </c>
      <c r="Q30" s="608">
        <v>375</v>
      </c>
      <c r="R30" s="608">
        <v>350</v>
      </c>
    </row>
    <row r="31" spans="1:19" s="40" customFormat="1" x14ac:dyDescent="0.2">
      <c r="A31" s="35"/>
      <c r="B31" s="10"/>
      <c r="C31" s="36"/>
      <c r="D31" s="36"/>
      <c r="E31" s="37"/>
      <c r="F31" s="35"/>
      <c r="G31" s="181" t="s">
        <v>77</v>
      </c>
      <c r="H31" s="613">
        <f t="shared" ref="H31:R31" si="6">H4-H18</f>
        <v>0</v>
      </c>
      <c r="I31" s="613">
        <f t="shared" si="6"/>
        <v>0</v>
      </c>
      <c r="J31" s="613">
        <f t="shared" si="6"/>
        <v>0</v>
      </c>
      <c r="K31" s="613">
        <f t="shared" si="6"/>
        <v>0</v>
      </c>
      <c r="L31" s="613">
        <f t="shared" si="6"/>
        <v>0</v>
      </c>
      <c r="M31" s="613">
        <f t="shared" si="6"/>
        <v>0</v>
      </c>
      <c r="N31" s="613">
        <f t="shared" si="6"/>
        <v>0</v>
      </c>
      <c r="O31" s="613">
        <f t="shared" si="6"/>
        <v>0</v>
      </c>
      <c r="P31" s="613">
        <f t="shared" si="6"/>
        <v>0</v>
      </c>
      <c r="Q31" s="613">
        <f t="shared" si="6"/>
        <v>0</v>
      </c>
      <c r="R31" s="613">
        <f t="shared" si="6"/>
        <v>0</v>
      </c>
      <c r="S31" s="4"/>
    </row>
    <row r="32" spans="1:19" x14ac:dyDescent="0.2">
      <c r="G32" s="604" t="s">
        <v>78</v>
      </c>
      <c r="H32" s="614">
        <v>2011</v>
      </c>
      <c r="I32" s="614">
        <f t="shared" ref="I32:R32" si="7">H32+1</f>
        <v>2012</v>
      </c>
      <c r="J32" s="614">
        <f t="shared" si="7"/>
        <v>2013</v>
      </c>
      <c r="K32" s="614">
        <f t="shared" si="7"/>
        <v>2014</v>
      </c>
      <c r="L32" s="614">
        <f t="shared" si="7"/>
        <v>2015</v>
      </c>
      <c r="M32" s="614">
        <f t="shared" si="7"/>
        <v>2016</v>
      </c>
      <c r="N32" s="614">
        <f t="shared" si="7"/>
        <v>2017</v>
      </c>
      <c r="O32" s="614">
        <f t="shared" si="7"/>
        <v>2018</v>
      </c>
      <c r="P32" s="614">
        <f t="shared" si="7"/>
        <v>2019</v>
      </c>
      <c r="Q32" s="614">
        <f t="shared" si="7"/>
        <v>2020</v>
      </c>
      <c r="R32" s="614">
        <f t="shared" si="7"/>
        <v>2021</v>
      </c>
    </row>
    <row r="33" spans="1:18" x14ac:dyDescent="0.2">
      <c r="B33" s="2" t="s">
        <v>79</v>
      </c>
      <c r="C33" s="19">
        <v>3</v>
      </c>
      <c r="G33" s="606" t="s">
        <v>80</v>
      </c>
      <c r="H33" s="607">
        <f>SUM(H34:H37)</f>
        <v>0</v>
      </c>
      <c r="I33" s="607">
        <f t="shared" ref="I33:R33" si="8">SUM(I34:I37)</f>
        <v>0</v>
      </c>
      <c r="J33" s="607">
        <f t="shared" si="8"/>
        <v>0</v>
      </c>
      <c r="K33" s="607">
        <f t="shared" si="8"/>
        <v>0</v>
      </c>
      <c r="L33" s="607">
        <f t="shared" si="8"/>
        <v>0</v>
      </c>
      <c r="M33" s="607">
        <f t="shared" si="8"/>
        <v>2609</v>
      </c>
      <c r="N33" s="607">
        <f t="shared" si="8"/>
        <v>6625</v>
      </c>
      <c r="O33" s="607">
        <f t="shared" si="8"/>
        <v>6905</v>
      </c>
      <c r="P33" s="607">
        <f t="shared" si="8"/>
        <v>7443</v>
      </c>
      <c r="Q33" s="607">
        <f t="shared" si="8"/>
        <v>7324</v>
      </c>
      <c r="R33" s="607">
        <f t="shared" si="8"/>
        <v>7520</v>
      </c>
    </row>
    <row r="34" spans="1:18" ht="12" x14ac:dyDescent="0.2">
      <c r="B34" s="2" t="s">
        <v>81</v>
      </c>
      <c r="C34" s="19">
        <v>30</v>
      </c>
      <c r="E34" s="20" t="s">
        <v>14</v>
      </c>
      <c r="G34" s="18" t="s">
        <v>82</v>
      </c>
      <c r="H34" s="608">
        <v>0</v>
      </c>
      <c r="I34" s="608">
        <v>0</v>
      </c>
      <c r="J34" s="608">
        <v>0</v>
      </c>
      <c r="K34" s="608">
        <v>0</v>
      </c>
      <c r="L34" s="608"/>
      <c r="M34" s="608">
        <v>0</v>
      </c>
      <c r="N34" s="608">
        <v>0</v>
      </c>
      <c r="O34" s="608">
        <v>0</v>
      </c>
      <c r="P34" s="608">
        <v>0</v>
      </c>
      <c r="Q34" s="608">
        <v>0</v>
      </c>
      <c r="R34" s="608">
        <v>0</v>
      </c>
    </row>
    <row r="35" spans="1:18" ht="12" x14ac:dyDescent="0.2">
      <c r="B35" s="2" t="s">
        <v>83</v>
      </c>
      <c r="C35" s="19">
        <v>32</v>
      </c>
      <c r="E35" s="20" t="s">
        <v>14</v>
      </c>
      <c r="G35" s="18" t="s">
        <v>84</v>
      </c>
      <c r="H35" s="608">
        <v>0</v>
      </c>
      <c r="I35" s="608">
        <v>0</v>
      </c>
      <c r="J35" s="608">
        <v>0</v>
      </c>
      <c r="K35" s="608">
        <v>0</v>
      </c>
      <c r="L35" s="608"/>
      <c r="M35" s="609">
        <v>628</v>
      </c>
      <c r="N35" s="608">
        <v>1437</v>
      </c>
      <c r="O35" s="608">
        <v>1437</v>
      </c>
      <c r="P35" s="608">
        <v>1437</v>
      </c>
      <c r="Q35" s="608">
        <v>1437</v>
      </c>
      <c r="R35" s="608">
        <v>1437</v>
      </c>
    </row>
    <row r="36" spans="1:18" ht="12" x14ac:dyDescent="0.2">
      <c r="A36" s="23"/>
      <c r="B36" s="2" t="s">
        <v>85</v>
      </c>
      <c r="C36" s="19">
        <v>35</v>
      </c>
      <c r="E36" s="20" t="s">
        <v>14</v>
      </c>
      <c r="F36" s="23"/>
      <c r="G36" s="18" t="s">
        <v>86</v>
      </c>
      <c r="H36" s="608">
        <v>0</v>
      </c>
      <c r="I36" s="608">
        <v>0</v>
      </c>
      <c r="J36" s="608">
        <v>0</v>
      </c>
      <c r="K36" s="608">
        <v>0</v>
      </c>
      <c r="L36" s="608"/>
      <c r="M36" s="609">
        <v>1975</v>
      </c>
      <c r="N36" s="608">
        <v>5188</v>
      </c>
      <c r="O36" s="608">
        <v>5468</v>
      </c>
      <c r="P36" s="608">
        <v>6006</v>
      </c>
      <c r="Q36" s="608">
        <v>5887</v>
      </c>
      <c r="R36" s="608">
        <v>6083</v>
      </c>
    </row>
    <row r="37" spans="1:18" ht="12" x14ac:dyDescent="0.2">
      <c r="B37" s="2" t="s">
        <v>87</v>
      </c>
      <c r="C37" s="19">
        <v>38</v>
      </c>
      <c r="E37" s="20" t="s">
        <v>14</v>
      </c>
      <c r="G37" s="18" t="s">
        <v>88</v>
      </c>
      <c r="H37" s="608">
        <v>0</v>
      </c>
      <c r="I37" s="608">
        <v>0</v>
      </c>
      <c r="J37" s="608">
        <v>0</v>
      </c>
      <c r="K37" s="608">
        <v>0</v>
      </c>
      <c r="L37" s="608"/>
      <c r="M37" s="609">
        <v>6</v>
      </c>
      <c r="N37" s="608">
        <v>0</v>
      </c>
      <c r="O37" s="608">
        <v>0</v>
      </c>
      <c r="P37" s="608">
        <v>0</v>
      </c>
      <c r="Q37" s="608">
        <v>0</v>
      </c>
      <c r="R37" s="608">
        <v>0</v>
      </c>
    </row>
    <row r="38" spans="1:18" x14ac:dyDescent="0.2">
      <c r="B38" s="2" t="s">
        <v>89</v>
      </c>
      <c r="C38" s="19">
        <v>4</v>
      </c>
      <c r="E38" s="42"/>
      <c r="G38" s="18" t="s">
        <v>90</v>
      </c>
      <c r="H38" s="607">
        <f>H39+H40</f>
        <v>0</v>
      </c>
      <c r="I38" s="607">
        <f t="shared" ref="I38:R38" si="9">I39+I40</f>
        <v>0</v>
      </c>
      <c r="J38" s="607">
        <f t="shared" si="9"/>
        <v>0</v>
      </c>
      <c r="K38" s="607">
        <f t="shared" si="9"/>
        <v>0</v>
      </c>
      <c r="L38" s="607">
        <f t="shared" si="9"/>
        <v>0</v>
      </c>
      <c r="M38" s="607">
        <f t="shared" si="9"/>
        <v>0</v>
      </c>
      <c r="N38" s="607">
        <f t="shared" si="9"/>
        <v>0</v>
      </c>
      <c r="O38" s="607">
        <f t="shared" si="9"/>
        <v>0</v>
      </c>
      <c r="P38" s="607">
        <f t="shared" si="9"/>
        <v>0</v>
      </c>
      <c r="Q38" s="607">
        <f t="shared" si="9"/>
        <v>0</v>
      </c>
      <c r="R38" s="607">
        <f t="shared" si="9"/>
        <v>0</v>
      </c>
    </row>
    <row r="39" spans="1:18" ht="12" x14ac:dyDescent="0.2">
      <c r="B39" s="2" t="s">
        <v>91</v>
      </c>
      <c r="C39" s="19">
        <v>41</v>
      </c>
      <c r="E39" s="20" t="s">
        <v>92</v>
      </c>
      <c r="G39" s="18" t="s">
        <v>93</v>
      </c>
      <c r="H39" s="608">
        <v>0</v>
      </c>
      <c r="I39" s="608">
        <v>0</v>
      </c>
      <c r="J39" s="608">
        <v>0</v>
      </c>
      <c r="K39" s="608">
        <v>0</v>
      </c>
      <c r="L39" s="608">
        <v>0</v>
      </c>
      <c r="M39" s="608">
        <v>0</v>
      </c>
      <c r="N39" s="608">
        <v>0</v>
      </c>
      <c r="O39" s="608">
        <v>0</v>
      </c>
      <c r="P39" s="608">
        <v>0</v>
      </c>
      <c r="Q39" s="608">
        <v>0</v>
      </c>
      <c r="R39" s="608">
        <v>0</v>
      </c>
    </row>
    <row r="40" spans="1:18" ht="12" x14ac:dyDescent="0.2">
      <c r="B40" s="2" t="s">
        <v>94</v>
      </c>
      <c r="C40" s="19">
        <v>45</v>
      </c>
      <c r="E40" s="20" t="s">
        <v>92</v>
      </c>
      <c r="G40" s="18" t="s">
        <v>95</v>
      </c>
      <c r="H40" s="608">
        <v>0</v>
      </c>
      <c r="I40" s="608">
        <v>0</v>
      </c>
      <c r="J40" s="608">
        <v>0</v>
      </c>
      <c r="K40" s="608">
        <v>0</v>
      </c>
      <c r="L40" s="608">
        <v>0</v>
      </c>
      <c r="M40" s="608">
        <v>0</v>
      </c>
      <c r="N40" s="608">
        <v>0</v>
      </c>
      <c r="O40" s="608">
        <v>0</v>
      </c>
      <c r="P40" s="608">
        <v>0</v>
      </c>
      <c r="Q40" s="608">
        <v>0</v>
      </c>
      <c r="R40" s="608">
        <v>0</v>
      </c>
    </row>
    <row r="41" spans="1:18" x14ac:dyDescent="0.2">
      <c r="A41" s="23"/>
      <c r="B41" s="2" t="s">
        <v>96</v>
      </c>
      <c r="C41" s="19" t="s">
        <v>97</v>
      </c>
      <c r="E41" s="42"/>
      <c r="F41" s="23"/>
      <c r="G41" s="18" t="s">
        <v>98</v>
      </c>
      <c r="H41" s="607">
        <f>SUM(H42:H45)</f>
        <v>0</v>
      </c>
      <c r="I41" s="607">
        <f t="shared" ref="I41:R41" si="10">SUM(I42:I45)</f>
        <v>0</v>
      </c>
      <c r="J41" s="607">
        <f t="shared" si="10"/>
        <v>0</v>
      </c>
      <c r="K41" s="607">
        <f t="shared" si="10"/>
        <v>0</v>
      </c>
      <c r="L41" s="607">
        <f t="shared" si="10"/>
        <v>0</v>
      </c>
      <c r="M41" s="607">
        <f t="shared" si="10"/>
        <v>-2176</v>
      </c>
      <c r="N41" s="607">
        <f t="shared" si="10"/>
        <v>-6644</v>
      </c>
      <c r="O41" s="607">
        <f t="shared" si="10"/>
        <v>-6669</v>
      </c>
      <c r="P41" s="607">
        <f t="shared" si="10"/>
        <v>-7149</v>
      </c>
      <c r="Q41" s="607">
        <f t="shared" si="10"/>
        <v>-6949</v>
      </c>
      <c r="R41" s="607">
        <f t="shared" si="10"/>
        <v>-7170</v>
      </c>
    </row>
    <row r="42" spans="1:18" ht="12" x14ac:dyDescent="0.2">
      <c r="B42" s="2" t="s">
        <v>99</v>
      </c>
      <c r="C42" s="19">
        <v>50</v>
      </c>
      <c r="E42" s="20" t="s">
        <v>92</v>
      </c>
      <c r="G42" s="18" t="s">
        <v>100</v>
      </c>
      <c r="H42" s="608">
        <v>0</v>
      </c>
      <c r="I42" s="608">
        <v>0</v>
      </c>
      <c r="J42" s="608">
        <v>0</v>
      </c>
      <c r="K42" s="608">
        <v>0</v>
      </c>
      <c r="L42" s="608"/>
      <c r="M42" s="608">
        <v>-1069</v>
      </c>
      <c r="N42" s="608">
        <v>-2361</v>
      </c>
      <c r="O42" s="608">
        <v>-2479</v>
      </c>
      <c r="P42" s="608">
        <v>-2603</v>
      </c>
      <c r="Q42" s="608">
        <v>-2733</v>
      </c>
      <c r="R42" s="608">
        <v>-2870</v>
      </c>
    </row>
    <row r="43" spans="1:18" ht="12" x14ac:dyDescent="0.2">
      <c r="B43" s="2" t="s">
        <v>101</v>
      </c>
      <c r="C43" s="19">
        <v>55</v>
      </c>
      <c r="E43" s="20" t="s">
        <v>92</v>
      </c>
      <c r="G43" s="18" t="s">
        <v>102</v>
      </c>
      <c r="H43" s="608">
        <v>0</v>
      </c>
      <c r="I43" s="608">
        <v>0</v>
      </c>
      <c r="J43" s="608">
        <v>0</v>
      </c>
      <c r="K43" s="608">
        <v>0</v>
      </c>
      <c r="L43" s="608"/>
      <c r="M43" s="608">
        <v>-1098</v>
      </c>
      <c r="N43" s="608">
        <v>-4264</v>
      </c>
      <c r="O43" s="608">
        <v>-4161</v>
      </c>
      <c r="P43" s="608">
        <v>-4507</v>
      </c>
      <c r="Q43" s="608">
        <v>-4177</v>
      </c>
      <c r="R43" s="608">
        <v>-4261</v>
      </c>
    </row>
    <row r="44" spans="1:18" ht="12" x14ac:dyDescent="0.2">
      <c r="A44" s="23"/>
      <c r="B44" s="2" t="s">
        <v>103</v>
      </c>
      <c r="C44" s="19">
        <v>60</v>
      </c>
      <c r="E44" s="20" t="s">
        <v>92</v>
      </c>
      <c r="F44" s="23"/>
      <c r="G44" s="18" t="s">
        <v>104</v>
      </c>
      <c r="H44" s="608">
        <v>0</v>
      </c>
      <c r="I44" s="608">
        <v>0</v>
      </c>
      <c r="J44" s="608">
        <v>0</v>
      </c>
      <c r="K44" s="608">
        <v>0</v>
      </c>
      <c r="L44" s="608"/>
      <c r="M44" s="608">
        <v>-2</v>
      </c>
      <c r="N44" s="608">
        <v>-2</v>
      </c>
      <c r="O44" s="608">
        <v>-2</v>
      </c>
      <c r="P44" s="608">
        <v>-2</v>
      </c>
      <c r="Q44" s="608">
        <v>-2</v>
      </c>
      <c r="R44" s="608">
        <v>-2</v>
      </c>
    </row>
    <row r="45" spans="1:18" ht="12" x14ac:dyDescent="0.2">
      <c r="B45" s="2" t="s">
        <v>105</v>
      </c>
      <c r="C45" s="19">
        <v>61</v>
      </c>
      <c r="E45" s="20" t="s">
        <v>92</v>
      </c>
      <c r="G45" s="18" t="s">
        <v>106</v>
      </c>
      <c r="H45" s="608">
        <v>0</v>
      </c>
      <c r="I45" s="608">
        <v>0</v>
      </c>
      <c r="J45" s="608">
        <v>0</v>
      </c>
      <c r="K45" s="608">
        <v>0</v>
      </c>
      <c r="L45" s="608"/>
      <c r="M45" s="608">
        <v>-7</v>
      </c>
      <c r="N45" s="608">
        <v>-17</v>
      </c>
      <c r="O45" s="608">
        <v>-27</v>
      </c>
      <c r="P45" s="608">
        <v>-37</v>
      </c>
      <c r="Q45" s="608">
        <v>-37</v>
      </c>
      <c r="R45" s="608">
        <v>-37</v>
      </c>
    </row>
    <row r="46" spans="1:18" x14ac:dyDescent="0.2">
      <c r="B46" s="2" t="s">
        <v>107</v>
      </c>
      <c r="G46" s="18" t="s">
        <v>108</v>
      </c>
      <c r="H46" s="607">
        <f>H33+H38+H41</f>
        <v>0</v>
      </c>
      <c r="I46" s="607">
        <f t="shared" ref="I46:R46" si="11">I33+I38+I41</f>
        <v>0</v>
      </c>
      <c r="J46" s="607">
        <f t="shared" si="11"/>
        <v>0</v>
      </c>
      <c r="K46" s="607">
        <f t="shared" si="11"/>
        <v>0</v>
      </c>
      <c r="L46" s="607">
        <f t="shared" si="11"/>
        <v>0</v>
      </c>
      <c r="M46" s="607">
        <f>M33+M38+M41</f>
        <v>433</v>
      </c>
      <c r="N46" s="607">
        <f t="shared" si="11"/>
        <v>-19</v>
      </c>
      <c r="O46" s="607">
        <f t="shared" si="11"/>
        <v>236</v>
      </c>
      <c r="P46" s="607">
        <f t="shared" si="11"/>
        <v>294</v>
      </c>
      <c r="Q46" s="607">
        <f t="shared" si="11"/>
        <v>375</v>
      </c>
      <c r="R46" s="607">
        <f t="shared" si="11"/>
        <v>350</v>
      </c>
    </row>
    <row r="47" spans="1:18" ht="12" x14ac:dyDescent="0.2">
      <c r="B47" s="2" t="s">
        <v>109</v>
      </c>
      <c r="C47" s="19">
        <v>65</v>
      </c>
      <c r="E47" s="20" t="s">
        <v>75</v>
      </c>
      <c r="G47" s="18" t="s">
        <v>110</v>
      </c>
      <c r="H47" s="608">
        <v>0</v>
      </c>
      <c r="I47" s="608">
        <v>0</v>
      </c>
      <c r="J47" s="608">
        <v>0</v>
      </c>
      <c r="K47" s="608">
        <v>0</v>
      </c>
      <c r="L47" s="608">
        <v>3.7999999999999999E-2</v>
      </c>
      <c r="M47" s="608">
        <v>0</v>
      </c>
      <c r="N47" s="608">
        <v>0</v>
      </c>
      <c r="O47" s="608">
        <v>0</v>
      </c>
      <c r="P47" s="608">
        <v>0</v>
      </c>
      <c r="Q47" s="608">
        <v>0</v>
      </c>
      <c r="R47" s="608">
        <v>0</v>
      </c>
    </row>
    <row r="48" spans="1:18" x14ac:dyDescent="0.2">
      <c r="B48" s="2" t="s">
        <v>111</v>
      </c>
      <c r="G48" s="18" t="s">
        <v>112</v>
      </c>
      <c r="H48" s="607">
        <f>H46+H47</f>
        <v>0</v>
      </c>
      <c r="I48" s="607">
        <f t="shared" ref="I48:R48" si="12">I46+I47</f>
        <v>0</v>
      </c>
      <c r="J48" s="607">
        <f t="shared" si="12"/>
        <v>0</v>
      </c>
      <c r="K48" s="607">
        <f t="shared" si="12"/>
        <v>0</v>
      </c>
      <c r="L48" s="607">
        <f t="shared" si="12"/>
        <v>3.7999999999999999E-2</v>
      </c>
      <c r="M48" s="607">
        <f t="shared" si="12"/>
        <v>433</v>
      </c>
      <c r="N48" s="607">
        <f t="shared" si="12"/>
        <v>-19</v>
      </c>
      <c r="O48" s="607">
        <f t="shared" si="12"/>
        <v>236</v>
      </c>
      <c r="P48" s="607">
        <f t="shared" si="12"/>
        <v>294</v>
      </c>
      <c r="Q48" s="607">
        <f t="shared" si="12"/>
        <v>375</v>
      </c>
      <c r="R48" s="607">
        <f t="shared" si="12"/>
        <v>350</v>
      </c>
    </row>
    <row r="49" spans="1:18" ht="12" x14ac:dyDescent="0.2">
      <c r="B49" s="2" t="s">
        <v>113</v>
      </c>
      <c r="C49" s="19">
        <v>68</v>
      </c>
      <c r="E49" s="20" t="s">
        <v>92</v>
      </c>
      <c r="G49" s="18" t="s">
        <v>114</v>
      </c>
      <c r="H49" s="608">
        <v>0</v>
      </c>
      <c r="I49" s="608">
        <v>0</v>
      </c>
      <c r="J49" s="608">
        <v>0</v>
      </c>
      <c r="K49" s="608">
        <v>0</v>
      </c>
      <c r="L49" s="608">
        <v>0</v>
      </c>
      <c r="M49" s="608">
        <v>0</v>
      </c>
      <c r="N49" s="608">
        <v>0</v>
      </c>
      <c r="O49" s="608">
        <v>0</v>
      </c>
      <c r="P49" s="608">
        <v>0</v>
      </c>
      <c r="Q49" s="608">
        <v>0</v>
      </c>
      <c r="R49" s="608">
        <v>0</v>
      </c>
    </row>
    <row r="50" spans="1:18" ht="12" x14ac:dyDescent="0.2">
      <c r="B50" s="2" t="s">
        <v>115</v>
      </c>
      <c r="C50" s="19">
        <v>69</v>
      </c>
      <c r="E50" s="20" t="s">
        <v>14</v>
      </c>
      <c r="G50" s="18" t="s">
        <v>116</v>
      </c>
      <c r="H50" s="608">
        <v>0</v>
      </c>
      <c r="I50" s="608">
        <v>0</v>
      </c>
      <c r="J50" s="608">
        <v>0</v>
      </c>
      <c r="K50" s="608">
        <v>0</v>
      </c>
      <c r="L50" s="608">
        <v>0</v>
      </c>
      <c r="M50" s="608">
        <v>0</v>
      </c>
      <c r="N50" s="608">
        <v>0</v>
      </c>
      <c r="O50" s="608">
        <v>0</v>
      </c>
      <c r="P50" s="608">
        <v>0</v>
      </c>
      <c r="Q50" s="608">
        <v>0</v>
      </c>
      <c r="R50" s="608">
        <v>0</v>
      </c>
    </row>
    <row r="51" spans="1:18" x14ac:dyDescent="0.2">
      <c r="B51" s="2" t="s">
        <v>117</v>
      </c>
      <c r="G51" s="18" t="s">
        <v>118</v>
      </c>
      <c r="H51" s="607">
        <f>H48+H49+H50</f>
        <v>0</v>
      </c>
      <c r="I51" s="607">
        <f t="shared" ref="I51:R51" si="13">I48+I49+I50</f>
        <v>0</v>
      </c>
      <c r="J51" s="607">
        <f t="shared" si="13"/>
        <v>0</v>
      </c>
      <c r="K51" s="607">
        <f t="shared" si="13"/>
        <v>0</v>
      </c>
      <c r="L51" s="607">
        <f t="shared" si="13"/>
        <v>3.7999999999999999E-2</v>
      </c>
      <c r="M51" s="607">
        <f t="shared" si="13"/>
        <v>433</v>
      </c>
      <c r="N51" s="607">
        <f t="shared" si="13"/>
        <v>-19</v>
      </c>
      <c r="O51" s="607">
        <f t="shared" si="13"/>
        <v>236</v>
      </c>
      <c r="P51" s="607">
        <f t="shared" si="13"/>
        <v>294</v>
      </c>
      <c r="Q51" s="607">
        <f t="shared" si="13"/>
        <v>375</v>
      </c>
      <c r="R51" s="607">
        <f t="shared" si="13"/>
        <v>350</v>
      </c>
    </row>
    <row r="52" spans="1:18" x14ac:dyDescent="0.2">
      <c r="A52" s="43"/>
      <c r="C52" s="44"/>
      <c r="D52" s="44"/>
      <c r="E52" s="45"/>
      <c r="F52" s="43"/>
      <c r="G52" s="181" t="s">
        <v>119</v>
      </c>
      <c r="H52" s="613">
        <f>H30-H51</f>
        <v>0</v>
      </c>
      <c r="I52" s="613">
        <f t="shared" ref="I52:R52" si="14">I30-I51</f>
        <v>0</v>
      </c>
      <c r="J52" s="613">
        <f t="shared" si="14"/>
        <v>0</v>
      </c>
      <c r="K52" s="613">
        <f t="shared" si="14"/>
        <v>0</v>
      </c>
      <c r="L52" s="613">
        <f t="shared" si="14"/>
        <v>-3.7999999999999999E-2</v>
      </c>
      <c r="M52" s="613">
        <f t="shared" si="14"/>
        <v>0</v>
      </c>
      <c r="N52" s="613">
        <f t="shared" si="14"/>
        <v>0</v>
      </c>
      <c r="O52" s="613">
        <f t="shared" si="14"/>
        <v>0</v>
      </c>
      <c r="P52" s="613">
        <f t="shared" si="14"/>
        <v>0</v>
      </c>
      <c r="Q52" s="613">
        <f t="shared" si="14"/>
        <v>0</v>
      </c>
      <c r="R52" s="613">
        <f t="shared" si="14"/>
        <v>0</v>
      </c>
    </row>
    <row r="53" spans="1:18" x14ac:dyDescent="0.2">
      <c r="G53" s="46" t="s">
        <v>120</v>
      </c>
    </row>
    <row r="54" spans="1:18" ht="12" x14ac:dyDescent="0.2">
      <c r="C54" s="19">
        <v>90</v>
      </c>
      <c r="E54" s="20" t="s">
        <v>14</v>
      </c>
      <c r="G54" s="46" t="s">
        <v>121</v>
      </c>
      <c r="H54" s="608">
        <v>0</v>
      </c>
      <c r="I54" s="608">
        <v>0</v>
      </c>
      <c r="J54" s="608">
        <v>0</v>
      </c>
      <c r="K54" s="608">
        <v>0</v>
      </c>
      <c r="L54" s="608">
        <v>0</v>
      </c>
      <c r="M54" s="608">
        <v>140</v>
      </c>
      <c r="N54" s="608">
        <v>0</v>
      </c>
      <c r="O54" s="608">
        <v>0</v>
      </c>
      <c r="P54" s="608">
        <v>0</v>
      </c>
      <c r="Q54" s="608">
        <v>0</v>
      </c>
      <c r="R54" s="608">
        <v>0</v>
      </c>
    </row>
    <row r="55" spans="1:18" ht="12" x14ac:dyDescent="0.2">
      <c r="E55" s="20" t="s">
        <v>14</v>
      </c>
      <c r="G55" s="46" t="s">
        <v>122</v>
      </c>
      <c r="H55" s="608"/>
      <c r="I55" s="608"/>
      <c r="J55" s="608"/>
      <c r="K55" s="608"/>
      <c r="L55" s="615"/>
      <c r="M55" s="615"/>
      <c r="N55" s="615"/>
      <c r="O55" s="615"/>
      <c r="P55" s="615"/>
      <c r="Q55" s="615"/>
      <c r="R55" s="615"/>
    </row>
    <row r="57" spans="1:18" x14ac:dyDescent="0.2">
      <c r="D57" s="49" t="s">
        <v>123</v>
      </c>
      <c r="E57" s="50" t="s">
        <v>3</v>
      </c>
      <c r="F57" s="17"/>
      <c r="G57" s="604" t="s">
        <v>124</v>
      </c>
      <c r="H57" s="614">
        <f>H32</f>
        <v>2011</v>
      </c>
      <c r="I57" s="614">
        <f t="shared" ref="I57:R57" si="15">I32</f>
        <v>2012</v>
      </c>
      <c r="J57" s="614">
        <f t="shared" si="15"/>
        <v>2013</v>
      </c>
      <c r="K57" s="614">
        <f t="shared" si="15"/>
        <v>2014</v>
      </c>
      <c r="L57" s="614">
        <f t="shared" si="15"/>
        <v>2015</v>
      </c>
      <c r="M57" s="614">
        <f t="shared" si="15"/>
        <v>2016</v>
      </c>
      <c r="N57" s="614">
        <f t="shared" si="15"/>
        <v>2017</v>
      </c>
      <c r="O57" s="614">
        <f t="shared" si="15"/>
        <v>2018</v>
      </c>
      <c r="P57" s="614">
        <f t="shared" si="15"/>
        <v>2019</v>
      </c>
      <c r="Q57" s="614">
        <f t="shared" si="15"/>
        <v>2020</v>
      </c>
      <c r="R57" s="614">
        <f t="shared" si="15"/>
        <v>2021</v>
      </c>
    </row>
    <row r="58" spans="1:18" ht="11.25" customHeight="1" x14ac:dyDescent="0.2">
      <c r="B58" s="51" t="s">
        <v>125</v>
      </c>
      <c r="C58" s="16" t="s">
        <v>126</v>
      </c>
      <c r="D58" s="52" t="s">
        <v>127</v>
      </c>
      <c r="E58" s="20" t="s">
        <v>92</v>
      </c>
      <c r="F58" s="22"/>
      <c r="G58" s="606" t="s">
        <v>128</v>
      </c>
      <c r="H58" s="608">
        <v>0</v>
      </c>
      <c r="I58" s="608">
        <v>0</v>
      </c>
      <c r="J58" s="608">
        <v>0</v>
      </c>
      <c r="K58" s="608">
        <v>0</v>
      </c>
      <c r="L58" s="608">
        <v>0</v>
      </c>
      <c r="M58" s="616">
        <v>-20</v>
      </c>
      <c r="N58" s="616">
        <v>-82</v>
      </c>
      <c r="O58" s="616">
        <v>-66</v>
      </c>
      <c r="P58" s="616">
        <v>-330</v>
      </c>
      <c r="Q58" s="616">
        <v>-20</v>
      </c>
      <c r="R58" s="616">
        <v>-20</v>
      </c>
    </row>
    <row r="59" spans="1:18" ht="12" x14ac:dyDescent="0.2">
      <c r="B59" s="51" t="s">
        <v>129</v>
      </c>
      <c r="C59" s="53" t="s">
        <v>130</v>
      </c>
      <c r="D59" s="52" t="s">
        <v>131</v>
      </c>
      <c r="E59" s="20" t="s">
        <v>14</v>
      </c>
      <c r="F59" s="22"/>
      <c r="G59" s="54" t="s">
        <v>132</v>
      </c>
      <c r="H59" s="608">
        <v>0.377</v>
      </c>
      <c r="I59" s="608">
        <v>0.377</v>
      </c>
      <c r="J59" s="608">
        <v>0.377</v>
      </c>
      <c r="K59" s="608">
        <v>0.377</v>
      </c>
      <c r="L59" s="608">
        <v>0.377</v>
      </c>
      <c r="M59" s="608">
        <v>0.377</v>
      </c>
      <c r="N59" s="608">
        <v>0.377</v>
      </c>
      <c r="O59" s="608">
        <v>0.377</v>
      </c>
      <c r="P59" s="608">
        <v>0.377</v>
      </c>
      <c r="Q59" s="608">
        <v>0.377</v>
      </c>
      <c r="R59" s="608">
        <v>0.377</v>
      </c>
    </row>
    <row r="60" spans="1:18" ht="12" x14ac:dyDescent="0.2">
      <c r="B60" s="51" t="s">
        <v>133</v>
      </c>
      <c r="C60" s="55" t="s">
        <v>134</v>
      </c>
      <c r="D60" s="52" t="s">
        <v>135</v>
      </c>
      <c r="E60" s="20" t="s">
        <v>14</v>
      </c>
      <c r="F60" s="22"/>
      <c r="G60" s="18" t="s">
        <v>136</v>
      </c>
      <c r="H60" s="608">
        <v>0</v>
      </c>
      <c r="I60" s="608">
        <v>0</v>
      </c>
      <c r="J60" s="608">
        <v>0</v>
      </c>
      <c r="K60" s="608">
        <v>0</v>
      </c>
      <c r="L60" s="608">
        <v>0.377</v>
      </c>
      <c r="M60" s="608">
        <v>19</v>
      </c>
      <c r="N60" s="616">
        <v>82</v>
      </c>
      <c r="O60" s="616">
        <v>66</v>
      </c>
      <c r="P60" s="616">
        <v>330</v>
      </c>
      <c r="Q60" s="608">
        <v>20</v>
      </c>
      <c r="R60" s="608">
        <v>20</v>
      </c>
    </row>
    <row r="61" spans="1:18" ht="12" x14ac:dyDescent="0.2">
      <c r="B61" s="51" t="s">
        <v>137</v>
      </c>
      <c r="C61" s="55" t="s">
        <v>138</v>
      </c>
      <c r="D61" s="55" t="s">
        <v>139</v>
      </c>
      <c r="E61" s="20" t="s">
        <v>92</v>
      </c>
      <c r="F61" s="22"/>
      <c r="G61" s="18" t="s">
        <v>140</v>
      </c>
      <c r="H61" s="608">
        <v>0</v>
      </c>
      <c r="I61" s="608">
        <v>0</v>
      </c>
      <c r="J61" s="608">
        <v>0</v>
      </c>
      <c r="K61" s="608">
        <v>0</v>
      </c>
      <c r="L61" s="608">
        <v>0</v>
      </c>
      <c r="M61" s="608">
        <v>0</v>
      </c>
      <c r="N61" s="608">
        <v>0</v>
      </c>
      <c r="O61" s="608">
        <v>0</v>
      </c>
      <c r="P61" s="608">
        <v>0</v>
      </c>
      <c r="Q61" s="608">
        <v>0</v>
      </c>
      <c r="R61" s="608">
        <v>0</v>
      </c>
    </row>
    <row r="62" spans="1:18" ht="12" x14ac:dyDescent="0.2">
      <c r="B62" s="51" t="s">
        <v>141</v>
      </c>
      <c r="C62" s="19">
        <v>253800</v>
      </c>
      <c r="D62" s="55" t="s">
        <v>135</v>
      </c>
      <c r="E62" s="20" t="s">
        <v>14</v>
      </c>
      <c r="F62" s="22"/>
      <c r="G62" s="18" t="s">
        <v>142</v>
      </c>
      <c r="H62" s="608">
        <v>0</v>
      </c>
      <c r="I62" s="608">
        <v>0</v>
      </c>
      <c r="J62" s="608">
        <v>0</v>
      </c>
      <c r="K62" s="608">
        <v>0</v>
      </c>
      <c r="L62" s="608">
        <v>0</v>
      </c>
      <c r="M62" s="608">
        <v>0</v>
      </c>
      <c r="N62" s="608">
        <v>0</v>
      </c>
      <c r="O62" s="608">
        <v>0</v>
      </c>
      <c r="P62" s="608">
        <v>0</v>
      </c>
      <c r="Q62" s="608">
        <v>0</v>
      </c>
      <c r="R62" s="608">
        <v>0</v>
      </c>
    </row>
    <row r="63" spans="1:18" ht="12" x14ac:dyDescent="0.2">
      <c r="B63" s="51" t="s">
        <v>143</v>
      </c>
      <c r="C63" s="19">
        <v>150</v>
      </c>
      <c r="D63" s="55" t="s">
        <v>139</v>
      </c>
      <c r="E63" s="20" t="s">
        <v>92</v>
      </c>
      <c r="F63" s="22"/>
      <c r="G63" s="18" t="s">
        <v>144</v>
      </c>
      <c r="H63" s="608">
        <v>0</v>
      </c>
      <c r="I63" s="608">
        <v>0</v>
      </c>
      <c r="J63" s="608">
        <v>0</v>
      </c>
      <c r="K63" s="608">
        <v>0</v>
      </c>
      <c r="L63" s="608">
        <v>0</v>
      </c>
      <c r="M63" s="608">
        <v>0</v>
      </c>
      <c r="N63" s="608">
        <v>0</v>
      </c>
      <c r="O63" s="608">
        <v>0</v>
      </c>
      <c r="P63" s="608">
        <v>0</v>
      </c>
      <c r="Q63" s="608">
        <v>0</v>
      </c>
      <c r="R63" s="608">
        <v>0</v>
      </c>
    </row>
    <row r="64" spans="1:18" ht="12" x14ac:dyDescent="0.2">
      <c r="B64" s="51" t="s">
        <v>145</v>
      </c>
      <c r="C64" s="55" t="s">
        <v>146</v>
      </c>
      <c r="D64" s="55" t="s">
        <v>135</v>
      </c>
      <c r="E64" s="20" t="s">
        <v>14</v>
      </c>
      <c r="F64" s="22"/>
      <c r="G64" s="18" t="s">
        <v>147</v>
      </c>
      <c r="H64" s="608">
        <v>0</v>
      </c>
      <c r="I64" s="608">
        <v>0</v>
      </c>
      <c r="J64" s="608">
        <v>0</v>
      </c>
      <c r="K64" s="608">
        <v>0</v>
      </c>
      <c r="L64" s="608">
        <v>0</v>
      </c>
      <c r="M64" s="608">
        <v>0</v>
      </c>
      <c r="N64" s="608">
        <v>0</v>
      </c>
      <c r="O64" s="608">
        <v>0</v>
      </c>
      <c r="P64" s="608">
        <v>0</v>
      </c>
      <c r="Q64" s="608">
        <v>0</v>
      </c>
      <c r="R64" s="608">
        <v>0</v>
      </c>
    </row>
    <row r="65" spans="2:18" ht="12" x14ac:dyDescent="0.2">
      <c r="B65" s="51" t="s">
        <v>148</v>
      </c>
      <c r="C65" s="16" t="s">
        <v>149</v>
      </c>
      <c r="D65" s="55" t="s">
        <v>139</v>
      </c>
      <c r="E65" s="20" t="s">
        <v>92</v>
      </c>
      <c r="F65" s="22"/>
      <c r="G65" s="18" t="s">
        <v>150</v>
      </c>
      <c r="H65" s="608">
        <v>0</v>
      </c>
      <c r="I65" s="608">
        <v>0</v>
      </c>
      <c r="J65" s="608">
        <v>0</v>
      </c>
      <c r="K65" s="608">
        <v>0</v>
      </c>
      <c r="L65" s="608">
        <v>0</v>
      </c>
      <c r="M65" s="608">
        <v>0</v>
      </c>
      <c r="N65" s="608">
        <v>0</v>
      </c>
      <c r="O65" s="608">
        <v>0</v>
      </c>
      <c r="P65" s="608">
        <v>0</v>
      </c>
      <c r="Q65" s="608">
        <v>0</v>
      </c>
      <c r="R65" s="608">
        <v>0</v>
      </c>
    </row>
    <row r="66" spans="2:18" ht="12" x14ac:dyDescent="0.2">
      <c r="B66" s="51" t="s">
        <v>151</v>
      </c>
      <c r="C66" s="16" t="s">
        <v>149</v>
      </c>
      <c r="D66" s="55" t="s">
        <v>135</v>
      </c>
      <c r="E66" s="20" t="s">
        <v>14</v>
      </c>
      <c r="F66" s="22"/>
      <c r="G66" s="18" t="s">
        <v>152</v>
      </c>
      <c r="H66" s="608">
        <v>0</v>
      </c>
      <c r="I66" s="608">
        <v>0</v>
      </c>
      <c r="J66" s="608">
        <v>0</v>
      </c>
      <c r="K66" s="608">
        <v>0</v>
      </c>
      <c r="L66" s="608">
        <v>0</v>
      </c>
      <c r="M66" s="608">
        <v>0</v>
      </c>
      <c r="N66" s="608">
        <v>0</v>
      </c>
      <c r="O66" s="608">
        <v>0</v>
      </c>
      <c r="P66" s="608">
        <v>0</v>
      </c>
      <c r="Q66" s="608">
        <v>0</v>
      </c>
      <c r="R66" s="608">
        <v>0</v>
      </c>
    </row>
    <row r="67" spans="2:18" ht="12" x14ac:dyDescent="0.2">
      <c r="B67" s="51" t="s">
        <v>153</v>
      </c>
      <c r="C67" s="16" t="s">
        <v>154</v>
      </c>
      <c r="D67" s="55" t="s">
        <v>139</v>
      </c>
      <c r="E67" s="20" t="s">
        <v>92</v>
      </c>
      <c r="F67" s="22"/>
      <c r="G67" s="18" t="s">
        <v>155</v>
      </c>
      <c r="H67" s="608">
        <v>0</v>
      </c>
      <c r="I67" s="608">
        <v>0</v>
      </c>
      <c r="J67" s="608">
        <v>0</v>
      </c>
      <c r="K67" s="608">
        <v>0</v>
      </c>
      <c r="L67" s="608">
        <v>0</v>
      </c>
      <c r="M67" s="608">
        <v>0</v>
      </c>
      <c r="N67" s="608">
        <v>0</v>
      </c>
      <c r="O67" s="608">
        <v>0</v>
      </c>
      <c r="P67" s="608">
        <v>0</v>
      </c>
      <c r="Q67" s="608">
        <v>0</v>
      </c>
      <c r="R67" s="608">
        <v>0</v>
      </c>
    </row>
    <row r="68" spans="2:18" ht="12" x14ac:dyDescent="0.2">
      <c r="B68" s="51" t="s">
        <v>156</v>
      </c>
      <c r="C68" s="16" t="s">
        <v>154</v>
      </c>
      <c r="D68" s="55" t="s">
        <v>135</v>
      </c>
      <c r="E68" s="20" t="s">
        <v>14</v>
      </c>
      <c r="F68" s="22"/>
      <c r="G68" s="18" t="s">
        <v>157</v>
      </c>
      <c r="H68" s="608">
        <v>0</v>
      </c>
      <c r="I68" s="608">
        <v>0</v>
      </c>
      <c r="J68" s="608">
        <v>0</v>
      </c>
      <c r="K68" s="608">
        <v>0</v>
      </c>
      <c r="L68" s="608">
        <v>0</v>
      </c>
      <c r="M68" s="608">
        <v>0</v>
      </c>
      <c r="N68" s="608">
        <v>0</v>
      </c>
      <c r="O68" s="608">
        <v>0</v>
      </c>
      <c r="P68" s="608">
        <v>0</v>
      </c>
      <c r="Q68" s="608">
        <v>0</v>
      </c>
      <c r="R68" s="608">
        <v>0</v>
      </c>
    </row>
    <row r="69" spans="2:18" ht="12" x14ac:dyDescent="0.2">
      <c r="B69" s="51" t="s">
        <v>158</v>
      </c>
      <c r="C69" s="55" t="s">
        <v>146</v>
      </c>
      <c r="D69" s="55" t="s">
        <v>135</v>
      </c>
      <c r="E69" s="20" t="s">
        <v>14</v>
      </c>
      <c r="F69" s="22"/>
      <c r="G69" s="18" t="s">
        <v>159</v>
      </c>
      <c r="H69" s="608">
        <v>0</v>
      </c>
      <c r="I69" s="608">
        <v>0</v>
      </c>
      <c r="J69" s="608">
        <v>0</v>
      </c>
      <c r="K69" s="608">
        <v>0</v>
      </c>
      <c r="L69" s="608">
        <v>0</v>
      </c>
      <c r="M69" s="608">
        <v>0</v>
      </c>
      <c r="N69" s="608">
        <v>0</v>
      </c>
      <c r="O69" s="608">
        <v>0</v>
      </c>
      <c r="P69" s="608">
        <v>0</v>
      </c>
      <c r="Q69" s="608">
        <v>0</v>
      </c>
      <c r="R69" s="608">
        <v>0</v>
      </c>
    </row>
    <row r="70" spans="2:18" ht="12" x14ac:dyDescent="0.2">
      <c r="B70" s="51" t="s">
        <v>160</v>
      </c>
      <c r="C70" s="56" t="s">
        <v>161</v>
      </c>
      <c r="D70" s="16"/>
      <c r="E70" s="20" t="s">
        <v>75</v>
      </c>
      <c r="F70" s="22"/>
      <c r="G70" s="18" t="s">
        <v>110</v>
      </c>
      <c r="H70" s="608">
        <v>0</v>
      </c>
      <c r="I70" s="608">
        <v>0</v>
      </c>
      <c r="J70" s="608">
        <v>0</v>
      </c>
      <c r="K70" s="608">
        <v>0</v>
      </c>
      <c r="L70" s="608">
        <v>0</v>
      </c>
      <c r="M70" s="608">
        <v>0</v>
      </c>
      <c r="N70" s="608">
        <v>0</v>
      </c>
      <c r="O70" s="608">
        <v>0</v>
      </c>
      <c r="P70" s="608">
        <v>0</v>
      </c>
      <c r="Q70" s="608">
        <v>0</v>
      </c>
      <c r="R70" s="608">
        <v>0</v>
      </c>
    </row>
    <row r="71" spans="2:18" x14ac:dyDescent="0.2">
      <c r="B71" s="51" t="s">
        <v>162</v>
      </c>
      <c r="D71" s="16"/>
      <c r="E71" s="22"/>
      <c r="F71" s="22"/>
      <c r="G71" s="617" t="s">
        <v>163</v>
      </c>
      <c r="H71" s="607">
        <f t="shared" ref="H71:R71" si="16">SUM(H58:H70)</f>
        <v>0.377</v>
      </c>
      <c r="I71" s="607">
        <f t="shared" si="16"/>
        <v>0.377</v>
      </c>
      <c r="J71" s="607">
        <f t="shared" si="16"/>
        <v>0.377</v>
      </c>
      <c r="K71" s="607">
        <f t="shared" si="16"/>
        <v>0.377</v>
      </c>
      <c r="L71" s="607">
        <f t="shared" si="16"/>
        <v>0.754</v>
      </c>
      <c r="M71" s="607">
        <f t="shared" si="16"/>
        <v>-0.62300000000000111</v>
      </c>
      <c r="N71" s="607">
        <f t="shared" si="16"/>
        <v>0.37699999999999534</v>
      </c>
      <c r="O71" s="607">
        <f t="shared" si="16"/>
        <v>0.37699999999999534</v>
      </c>
      <c r="P71" s="607">
        <f t="shared" si="16"/>
        <v>0.37700000000000955</v>
      </c>
      <c r="Q71" s="607">
        <f t="shared" si="16"/>
        <v>0.37699999999999889</v>
      </c>
      <c r="R71" s="607">
        <f t="shared" si="16"/>
        <v>0.37699999999999889</v>
      </c>
    </row>
    <row r="72" spans="2:18" x14ac:dyDescent="0.2">
      <c r="D72" s="16"/>
    </row>
    <row r="73" spans="2:18" x14ac:dyDescent="0.2">
      <c r="D73" s="49" t="s">
        <v>123</v>
      </c>
      <c r="E73" s="50" t="s">
        <v>3</v>
      </c>
      <c r="F73" s="17"/>
      <c r="G73" s="604" t="s">
        <v>164</v>
      </c>
      <c r="H73" s="614">
        <f t="shared" ref="H73:R73" si="17">H57</f>
        <v>2011</v>
      </c>
      <c r="I73" s="614">
        <f t="shared" si="17"/>
        <v>2012</v>
      </c>
      <c r="J73" s="614">
        <f t="shared" si="17"/>
        <v>2013</v>
      </c>
      <c r="K73" s="614">
        <f t="shared" si="17"/>
        <v>2014</v>
      </c>
      <c r="L73" s="614">
        <f t="shared" si="17"/>
        <v>2015</v>
      </c>
      <c r="M73" s="614">
        <f t="shared" si="17"/>
        <v>2016</v>
      </c>
      <c r="N73" s="614">
        <f t="shared" si="17"/>
        <v>2017</v>
      </c>
      <c r="O73" s="614">
        <f t="shared" si="17"/>
        <v>2018</v>
      </c>
      <c r="P73" s="614">
        <f t="shared" si="17"/>
        <v>2019</v>
      </c>
      <c r="Q73" s="614">
        <f t="shared" si="17"/>
        <v>2020</v>
      </c>
      <c r="R73" s="614">
        <f t="shared" si="17"/>
        <v>2021</v>
      </c>
    </row>
    <row r="74" spans="2:18" ht="12" x14ac:dyDescent="0.2">
      <c r="B74" s="2" t="s">
        <v>165</v>
      </c>
      <c r="C74" s="55" t="s">
        <v>166</v>
      </c>
      <c r="D74" s="55" t="s">
        <v>131</v>
      </c>
      <c r="E74" s="20" t="s">
        <v>14</v>
      </c>
      <c r="G74" s="606" t="s">
        <v>167</v>
      </c>
      <c r="H74" s="608">
        <v>0</v>
      </c>
      <c r="I74" s="608">
        <v>0</v>
      </c>
      <c r="J74" s="608">
        <v>0</v>
      </c>
      <c r="K74" s="608">
        <v>0</v>
      </c>
      <c r="L74" s="608">
        <v>0</v>
      </c>
      <c r="M74" s="608">
        <v>0</v>
      </c>
      <c r="N74" s="608">
        <v>0</v>
      </c>
      <c r="O74" s="608">
        <v>0</v>
      </c>
      <c r="P74" s="608">
        <v>0</v>
      </c>
      <c r="Q74" s="608">
        <v>0</v>
      </c>
      <c r="R74" s="608">
        <v>0</v>
      </c>
    </row>
    <row r="75" spans="2:18" ht="12" x14ac:dyDescent="0.2">
      <c r="B75" s="2" t="s">
        <v>168</v>
      </c>
      <c r="C75" s="55" t="s">
        <v>166</v>
      </c>
      <c r="D75" s="55" t="s">
        <v>127</v>
      </c>
      <c r="E75" s="20" t="s">
        <v>92</v>
      </c>
      <c r="F75" s="22"/>
      <c r="G75" s="18" t="s">
        <v>169</v>
      </c>
      <c r="H75" s="608">
        <v>0</v>
      </c>
      <c r="I75" s="608">
        <v>0</v>
      </c>
      <c r="J75" s="608">
        <v>0</v>
      </c>
      <c r="K75" s="608">
        <v>0</v>
      </c>
      <c r="L75" s="608">
        <v>0</v>
      </c>
      <c r="M75" s="608">
        <v>0</v>
      </c>
      <c r="N75" s="608">
        <v>0</v>
      </c>
      <c r="O75" s="608">
        <v>0</v>
      </c>
      <c r="P75" s="608">
        <v>0</v>
      </c>
      <c r="Q75" s="608">
        <v>0</v>
      </c>
      <c r="R75" s="608">
        <v>0</v>
      </c>
    </row>
    <row r="76" spans="2:18" ht="12" x14ac:dyDescent="0.2">
      <c r="B76" s="2" t="s">
        <v>170</v>
      </c>
      <c r="C76" s="55" t="s">
        <v>171</v>
      </c>
      <c r="D76" s="55" t="s">
        <v>135</v>
      </c>
      <c r="E76" s="20" t="s">
        <v>14</v>
      </c>
      <c r="G76" s="18" t="s">
        <v>172</v>
      </c>
      <c r="H76" s="608">
        <v>0</v>
      </c>
      <c r="I76" s="608">
        <v>0</v>
      </c>
      <c r="J76" s="608">
        <v>0</v>
      </c>
      <c r="K76" s="608">
        <v>0</v>
      </c>
      <c r="L76" s="608">
        <v>0</v>
      </c>
      <c r="M76" s="608">
        <v>0</v>
      </c>
      <c r="N76" s="608">
        <v>0</v>
      </c>
      <c r="O76" s="608">
        <v>0</v>
      </c>
      <c r="P76" s="608">
        <v>0</v>
      </c>
      <c r="Q76" s="608">
        <v>0</v>
      </c>
      <c r="R76" s="608">
        <v>0</v>
      </c>
    </row>
    <row r="77" spans="2:18" ht="12" x14ac:dyDescent="0.2">
      <c r="B77" s="2" t="s">
        <v>173</v>
      </c>
      <c r="C77" s="55" t="s">
        <v>171</v>
      </c>
      <c r="D77" s="55" t="s">
        <v>139</v>
      </c>
      <c r="E77" s="20" t="s">
        <v>92</v>
      </c>
      <c r="F77" s="22"/>
      <c r="G77" s="18" t="s">
        <v>174</v>
      </c>
      <c r="H77" s="608">
        <v>0</v>
      </c>
      <c r="I77" s="608">
        <v>0</v>
      </c>
      <c r="J77" s="608">
        <v>0</v>
      </c>
      <c r="K77" s="608">
        <v>0</v>
      </c>
      <c r="L77" s="608">
        <v>0</v>
      </c>
      <c r="M77" s="608">
        <v>0</v>
      </c>
      <c r="N77" s="608">
        <v>0</v>
      </c>
      <c r="O77" s="608">
        <v>0</v>
      </c>
      <c r="P77" s="608">
        <v>0</v>
      </c>
      <c r="Q77" s="608">
        <v>0</v>
      </c>
      <c r="R77" s="608">
        <v>0</v>
      </c>
    </row>
    <row r="78" spans="2:18" ht="12" x14ac:dyDescent="0.2">
      <c r="B78" s="2" t="s">
        <v>175</v>
      </c>
      <c r="C78" s="55" t="s">
        <v>176</v>
      </c>
      <c r="D78" s="55" t="s">
        <v>139</v>
      </c>
      <c r="E78" s="20" t="s">
        <v>92</v>
      </c>
      <c r="F78" s="22"/>
      <c r="G78" s="18" t="s">
        <v>177</v>
      </c>
      <c r="H78" s="608">
        <v>0</v>
      </c>
      <c r="I78" s="608">
        <v>0</v>
      </c>
      <c r="J78" s="608">
        <v>0</v>
      </c>
      <c r="K78" s="608">
        <v>0</v>
      </c>
      <c r="L78" s="608">
        <v>0</v>
      </c>
      <c r="M78" s="608">
        <v>0</v>
      </c>
      <c r="N78" s="608">
        <v>0</v>
      </c>
      <c r="O78" s="608">
        <v>0</v>
      </c>
      <c r="P78" s="608">
        <v>0</v>
      </c>
      <c r="Q78" s="608">
        <v>0</v>
      </c>
      <c r="R78" s="608">
        <v>0</v>
      </c>
    </row>
    <row r="79" spans="2:18" ht="12" x14ac:dyDescent="0.2">
      <c r="B79" s="2" t="s">
        <v>178</v>
      </c>
      <c r="C79" s="55" t="s">
        <v>179</v>
      </c>
      <c r="D79" s="55" t="s">
        <v>139</v>
      </c>
      <c r="E79" s="20" t="s">
        <v>92</v>
      </c>
      <c r="F79" s="22"/>
      <c r="G79" s="18" t="s">
        <v>180</v>
      </c>
      <c r="H79" s="608">
        <v>0</v>
      </c>
      <c r="I79" s="608">
        <v>0</v>
      </c>
      <c r="J79" s="608">
        <v>0</v>
      </c>
      <c r="K79" s="608">
        <v>0</v>
      </c>
      <c r="L79" s="608">
        <v>0</v>
      </c>
      <c r="M79" s="608">
        <v>0</v>
      </c>
      <c r="N79" s="608">
        <v>0</v>
      </c>
      <c r="O79" s="608">
        <v>0</v>
      </c>
      <c r="P79" s="608">
        <v>0</v>
      </c>
      <c r="Q79" s="608">
        <v>0</v>
      </c>
      <c r="R79" s="608">
        <v>0</v>
      </c>
    </row>
    <row r="80" spans="2:18" ht="12" x14ac:dyDescent="0.2">
      <c r="B80" s="2" t="s">
        <v>181</v>
      </c>
      <c r="C80" s="55" t="s">
        <v>182</v>
      </c>
      <c r="D80" s="55" t="s">
        <v>139</v>
      </c>
      <c r="E80" s="20" t="s">
        <v>92</v>
      </c>
      <c r="F80" s="22"/>
      <c r="G80" s="18" t="s">
        <v>183</v>
      </c>
      <c r="H80" s="608">
        <v>0</v>
      </c>
      <c r="I80" s="608">
        <v>0</v>
      </c>
      <c r="J80" s="608">
        <v>0</v>
      </c>
      <c r="K80" s="608">
        <v>0</v>
      </c>
      <c r="L80" s="608">
        <v>0</v>
      </c>
      <c r="M80" s="608">
        <v>0</v>
      </c>
      <c r="N80" s="608">
        <v>0</v>
      </c>
      <c r="O80" s="608">
        <v>0</v>
      </c>
      <c r="P80" s="608">
        <v>0</v>
      </c>
      <c r="Q80" s="608">
        <v>0</v>
      </c>
      <c r="R80" s="608">
        <v>0</v>
      </c>
    </row>
    <row r="81" spans="1:18" ht="12" x14ac:dyDescent="0.2">
      <c r="B81" s="2" t="s">
        <v>184</v>
      </c>
      <c r="C81" s="55" t="s">
        <v>55</v>
      </c>
      <c r="D81" s="55" t="s">
        <v>139</v>
      </c>
      <c r="E81" s="20" t="s">
        <v>92</v>
      </c>
      <c r="F81" s="22"/>
      <c r="G81" s="18" t="s">
        <v>185</v>
      </c>
      <c r="H81" s="608">
        <v>0</v>
      </c>
      <c r="I81" s="608">
        <v>0</v>
      </c>
      <c r="J81" s="608">
        <v>0</v>
      </c>
      <c r="K81" s="608">
        <v>0</v>
      </c>
      <c r="L81" s="608">
        <v>0</v>
      </c>
      <c r="M81" s="608">
        <v>0</v>
      </c>
      <c r="N81" s="608">
        <v>0</v>
      </c>
      <c r="O81" s="608">
        <v>0</v>
      </c>
      <c r="P81" s="608">
        <v>0</v>
      </c>
      <c r="Q81" s="608">
        <v>0</v>
      </c>
      <c r="R81" s="608">
        <v>0</v>
      </c>
    </row>
    <row r="82" spans="1:18" ht="12" x14ac:dyDescent="0.2">
      <c r="B82" s="2" t="s">
        <v>186</v>
      </c>
      <c r="C82" s="55" t="s">
        <v>187</v>
      </c>
      <c r="D82" s="55" t="s">
        <v>135</v>
      </c>
      <c r="E82" s="20" t="s">
        <v>14</v>
      </c>
      <c r="G82" s="18" t="s">
        <v>188</v>
      </c>
      <c r="H82" s="608">
        <v>0</v>
      </c>
      <c r="I82" s="608">
        <v>0</v>
      </c>
      <c r="J82" s="608">
        <v>0</v>
      </c>
      <c r="K82" s="608">
        <v>0</v>
      </c>
      <c r="L82" s="608">
        <v>0</v>
      </c>
      <c r="M82" s="608">
        <v>0</v>
      </c>
      <c r="N82" s="608">
        <v>0</v>
      </c>
      <c r="O82" s="608">
        <v>0</v>
      </c>
      <c r="P82" s="608">
        <v>0</v>
      </c>
      <c r="Q82" s="608">
        <v>0</v>
      </c>
      <c r="R82" s="608">
        <v>0</v>
      </c>
    </row>
    <row r="83" spans="1:18" ht="12" x14ac:dyDescent="0.2">
      <c r="B83" s="2" t="s">
        <v>189</v>
      </c>
      <c r="C83" s="55" t="s">
        <v>187</v>
      </c>
      <c r="D83" s="55" t="s">
        <v>139</v>
      </c>
      <c r="E83" s="20" t="s">
        <v>92</v>
      </c>
      <c r="F83" s="22"/>
      <c r="G83" s="18" t="s">
        <v>190</v>
      </c>
      <c r="H83" s="608">
        <v>0</v>
      </c>
      <c r="I83" s="608">
        <v>0</v>
      </c>
      <c r="J83" s="608">
        <v>0</v>
      </c>
      <c r="K83" s="608">
        <v>0</v>
      </c>
      <c r="L83" s="608">
        <v>0</v>
      </c>
      <c r="M83" s="608">
        <v>0</v>
      </c>
      <c r="N83" s="608">
        <v>0</v>
      </c>
      <c r="O83" s="608">
        <v>0</v>
      </c>
      <c r="P83" s="608">
        <v>0</v>
      </c>
      <c r="Q83" s="608">
        <v>0</v>
      </c>
      <c r="R83" s="608">
        <v>0</v>
      </c>
    </row>
    <row r="84" spans="1:18" ht="12" x14ac:dyDescent="0.2">
      <c r="B84" s="2" t="s">
        <v>191</v>
      </c>
      <c r="C84" s="58">
        <v>68</v>
      </c>
      <c r="D84" s="55" t="s">
        <v>139</v>
      </c>
      <c r="E84" s="20" t="s">
        <v>92</v>
      </c>
      <c r="F84" s="22"/>
      <c r="G84" s="186" t="s">
        <v>114</v>
      </c>
      <c r="H84" s="608">
        <v>0</v>
      </c>
      <c r="I84" s="608">
        <v>0</v>
      </c>
      <c r="J84" s="608">
        <v>0</v>
      </c>
      <c r="K84" s="608">
        <v>0</v>
      </c>
      <c r="L84" s="608">
        <v>0</v>
      </c>
      <c r="M84" s="608">
        <v>0</v>
      </c>
      <c r="N84" s="608">
        <v>0</v>
      </c>
      <c r="O84" s="608">
        <v>0</v>
      </c>
      <c r="P84" s="608">
        <v>0</v>
      </c>
      <c r="Q84" s="608">
        <v>0</v>
      </c>
      <c r="R84" s="608">
        <v>0</v>
      </c>
    </row>
    <row r="85" spans="1:18" x14ac:dyDescent="0.2">
      <c r="B85" s="2" t="s">
        <v>192</v>
      </c>
      <c r="G85" s="186" t="s">
        <v>163</v>
      </c>
      <c r="H85" s="607">
        <f t="shared" ref="H85:R85" si="18">SUM(H74:H84)</f>
        <v>0</v>
      </c>
      <c r="I85" s="607">
        <f t="shared" si="18"/>
        <v>0</v>
      </c>
      <c r="J85" s="607">
        <f t="shared" si="18"/>
        <v>0</v>
      </c>
      <c r="K85" s="607">
        <f t="shared" si="18"/>
        <v>0</v>
      </c>
      <c r="L85" s="607">
        <f t="shared" si="18"/>
        <v>0</v>
      </c>
      <c r="M85" s="607">
        <f t="shared" si="18"/>
        <v>0</v>
      </c>
      <c r="N85" s="607">
        <f t="shared" si="18"/>
        <v>0</v>
      </c>
      <c r="O85" s="607">
        <f t="shared" si="18"/>
        <v>0</v>
      </c>
      <c r="P85" s="607">
        <f t="shared" si="18"/>
        <v>0</v>
      </c>
      <c r="Q85" s="607">
        <f t="shared" si="18"/>
        <v>0</v>
      </c>
      <c r="R85" s="607">
        <f t="shared" si="18"/>
        <v>0</v>
      </c>
    </row>
    <row r="87" spans="1:18" x14ac:dyDescent="0.2">
      <c r="A87" s="23" t="s">
        <v>0</v>
      </c>
      <c r="D87" s="1216" t="s">
        <v>193</v>
      </c>
      <c r="E87" s="1217"/>
      <c r="G87" s="604" t="s">
        <v>194</v>
      </c>
      <c r="H87" s="614">
        <f t="shared" ref="H87:R87" si="19">H32</f>
        <v>2011</v>
      </c>
      <c r="I87" s="614">
        <f t="shared" si="19"/>
        <v>2012</v>
      </c>
      <c r="J87" s="614">
        <f t="shared" si="19"/>
        <v>2013</v>
      </c>
      <c r="K87" s="614">
        <f t="shared" si="19"/>
        <v>2014</v>
      </c>
      <c r="L87" s="614">
        <f t="shared" si="19"/>
        <v>2015</v>
      </c>
      <c r="M87" s="614">
        <f t="shared" si="19"/>
        <v>2016</v>
      </c>
      <c r="N87" s="614">
        <f t="shared" si="19"/>
        <v>2017</v>
      </c>
      <c r="O87" s="614">
        <f t="shared" si="19"/>
        <v>2018</v>
      </c>
      <c r="P87" s="614">
        <f t="shared" si="19"/>
        <v>2019</v>
      </c>
      <c r="Q87" s="614">
        <f t="shared" si="19"/>
        <v>2020</v>
      </c>
      <c r="R87" s="614">
        <f t="shared" si="19"/>
        <v>2021</v>
      </c>
    </row>
    <row r="88" spans="1:18" x14ac:dyDescent="0.2">
      <c r="A88" s="16" t="s">
        <v>195</v>
      </c>
      <c r="B88" s="2" t="s">
        <v>196</v>
      </c>
      <c r="C88" s="16" t="s">
        <v>197</v>
      </c>
      <c r="E88" s="618"/>
      <c r="G88" s="606" t="s">
        <v>198</v>
      </c>
      <c r="H88" s="607">
        <f>H46+H71</f>
        <v>0.377</v>
      </c>
      <c r="I88" s="607">
        <f t="shared" ref="I88:R88" si="20">I46+I71</f>
        <v>0.377</v>
      </c>
      <c r="J88" s="607">
        <f t="shared" si="20"/>
        <v>0.377</v>
      </c>
      <c r="K88" s="607">
        <f t="shared" si="20"/>
        <v>0.377</v>
      </c>
      <c r="L88" s="607">
        <f t="shared" si="20"/>
        <v>0.754</v>
      </c>
      <c r="M88" s="607">
        <f t="shared" si="20"/>
        <v>432.37700000000001</v>
      </c>
      <c r="N88" s="607">
        <f t="shared" si="20"/>
        <v>-18.623000000000005</v>
      </c>
      <c r="O88" s="607">
        <f t="shared" si="20"/>
        <v>236.37700000000001</v>
      </c>
      <c r="P88" s="607">
        <f t="shared" si="20"/>
        <v>294.37700000000001</v>
      </c>
      <c r="Q88" s="607">
        <f t="shared" si="20"/>
        <v>375.37700000000001</v>
      </c>
      <c r="R88" s="607">
        <f t="shared" si="20"/>
        <v>350.37700000000001</v>
      </c>
    </row>
    <row r="89" spans="1:18" x14ac:dyDescent="0.2">
      <c r="A89" s="16" t="s">
        <v>199</v>
      </c>
      <c r="B89" s="2" t="s">
        <v>200</v>
      </c>
      <c r="C89" s="55" t="s">
        <v>201</v>
      </c>
      <c r="E89" s="618"/>
      <c r="G89" s="606" t="s">
        <v>202</v>
      </c>
      <c r="H89" s="619">
        <f t="shared" ref="H89:R89" si="21">H33+H38+H41-H45</f>
        <v>0</v>
      </c>
      <c r="I89" s="607">
        <f t="shared" si="21"/>
        <v>0</v>
      </c>
      <c r="J89" s="607">
        <f t="shared" si="21"/>
        <v>0</v>
      </c>
      <c r="K89" s="607">
        <f t="shared" si="21"/>
        <v>0</v>
      </c>
      <c r="L89" s="607">
        <f t="shared" si="21"/>
        <v>0</v>
      </c>
      <c r="M89" s="607">
        <f t="shared" si="21"/>
        <v>440</v>
      </c>
      <c r="N89" s="607">
        <f t="shared" si="21"/>
        <v>-2</v>
      </c>
      <c r="O89" s="607">
        <f t="shared" si="21"/>
        <v>263</v>
      </c>
      <c r="P89" s="607">
        <f t="shared" si="21"/>
        <v>331</v>
      </c>
      <c r="Q89" s="607">
        <f t="shared" si="21"/>
        <v>412</v>
      </c>
      <c r="R89" s="607">
        <f t="shared" si="21"/>
        <v>387</v>
      </c>
    </row>
    <row r="90" spans="1:18" x14ac:dyDescent="0.2">
      <c r="A90" s="16" t="s">
        <v>203</v>
      </c>
      <c r="B90" s="2" t="s">
        <v>204</v>
      </c>
      <c r="C90" s="16" t="s">
        <v>205</v>
      </c>
      <c r="E90" s="620">
        <v>0</v>
      </c>
      <c r="G90" s="186" t="s">
        <v>206</v>
      </c>
      <c r="H90" s="621" t="e">
        <f t="shared" ref="H90:R90" si="22">H89/H33</f>
        <v>#DIV/0!</v>
      </c>
      <c r="I90" s="622" t="e">
        <f t="shared" si="22"/>
        <v>#DIV/0!</v>
      </c>
      <c r="J90" s="622" t="e">
        <f t="shared" si="22"/>
        <v>#DIV/0!</v>
      </c>
      <c r="K90" s="622" t="e">
        <f t="shared" si="22"/>
        <v>#DIV/0!</v>
      </c>
      <c r="L90" s="622" t="e">
        <f t="shared" si="22"/>
        <v>#DIV/0!</v>
      </c>
      <c r="M90" s="622">
        <f t="shared" si="22"/>
        <v>0.16864699118436183</v>
      </c>
      <c r="N90" s="622">
        <f t="shared" si="22"/>
        <v>-3.0188679245283021E-4</v>
      </c>
      <c r="O90" s="622">
        <f t="shared" si="22"/>
        <v>3.8088341781317883E-2</v>
      </c>
      <c r="P90" s="622">
        <f t="shared" si="22"/>
        <v>4.4471315329840118E-2</v>
      </c>
      <c r="Q90" s="622">
        <f t="shared" si="22"/>
        <v>5.6253413435281265E-2</v>
      </c>
      <c r="R90" s="622">
        <f t="shared" si="22"/>
        <v>5.146276595744681E-2</v>
      </c>
    </row>
    <row r="91" spans="1:18" x14ac:dyDescent="0.2">
      <c r="A91" s="16" t="s">
        <v>207</v>
      </c>
      <c r="B91" s="2" t="s">
        <v>208</v>
      </c>
      <c r="C91" s="55" t="s">
        <v>209</v>
      </c>
      <c r="E91" s="618"/>
      <c r="G91" s="18" t="s">
        <v>210</v>
      </c>
      <c r="H91" s="623" t="e">
        <f t="shared" ref="H91:R91" si="23">-H33/(H38+H41)</f>
        <v>#DIV/0!</v>
      </c>
      <c r="I91" s="623" t="e">
        <f t="shared" si="23"/>
        <v>#DIV/0!</v>
      </c>
      <c r="J91" s="623" t="e">
        <f t="shared" si="23"/>
        <v>#DIV/0!</v>
      </c>
      <c r="K91" s="623" t="e">
        <f t="shared" si="23"/>
        <v>#DIV/0!</v>
      </c>
      <c r="L91" s="623" t="e">
        <f t="shared" si="23"/>
        <v>#DIV/0!</v>
      </c>
      <c r="M91" s="623">
        <f t="shared" si="23"/>
        <v>1.1989889705882353</v>
      </c>
      <c r="N91" s="623">
        <f t="shared" si="23"/>
        <v>0.99714027694160146</v>
      </c>
      <c r="O91" s="623">
        <f t="shared" si="23"/>
        <v>1.0353876143349827</v>
      </c>
      <c r="P91" s="623">
        <f t="shared" si="23"/>
        <v>1.0411246328157784</v>
      </c>
      <c r="Q91" s="623">
        <f t="shared" si="23"/>
        <v>1.0539645992229099</v>
      </c>
      <c r="R91" s="623">
        <f t="shared" si="23"/>
        <v>1.0488145048814506</v>
      </c>
    </row>
    <row r="92" spans="1:18" x14ac:dyDescent="0.2">
      <c r="A92" s="16" t="s">
        <v>211</v>
      </c>
      <c r="B92" s="2" t="s">
        <v>212</v>
      </c>
      <c r="C92" s="16" t="s">
        <v>213</v>
      </c>
      <c r="E92" s="618"/>
      <c r="G92" s="606" t="s">
        <v>214</v>
      </c>
      <c r="H92" s="619">
        <f>H46</f>
        <v>0</v>
      </c>
      <c r="I92" s="619">
        <f t="shared" ref="I92:R92" si="24">I46</f>
        <v>0</v>
      </c>
      <c r="J92" s="619">
        <f t="shared" si="24"/>
        <v>0</v>
      </c>
      <c r="K92" s="619">
        <f t="shared" si="24"/>
        <v>0</v>
      </c>
      <c r="L92" s="619">
        <f t="shared" si="24"/>
        <v>0</v>
      </c>
      <c r="M92" s="619">
        <f t="shared" si="24"/>
        <v>433</v>
      </c>
      <c r="N92" s="619">
        <f t="shared" si="24"/>
        <v>-19</v>
      </c>
      <c r="O92" s="619">
        <f t="shared" si="24"/>
        <v>236</v>
      </c>
      <c r="P92" s="619">
        <f t="shared" si="24"/>
        <v>294</v>
      </c>
      <c r="Q92" s="619">
        <f t="shared" si="24"/>
        <v>375</v>
      </c>
      <c r="R92" s="619">
        <f t="shared" si="24"/>
        <v>350</v>
      </c>
    </row>
    <row r="93" spans="1:18" x14ac:dyDescent="0.2">
      <c r="A93" s="16" t="s">
        <v>215</v>
      </c>
      <c r="B93" s="2" t="s">
        <v>216</v>
      </c>
      <c r="C93" s="16" t="s">
        <v>217</v>
      </c>
      <c r="D93" s="620">
        <v>-0.3</v>
      </c>
      <c r="E93" s="620">
        <v>0</v>
      </c>
      <c r="G93" s="18" t="s">
        <v>218</v>
      </c>
      <c r="H93" s="624" t="e">
        <f>H46/H33</f>
        <v>#DIV/0!</v>
      </c>
      <c r="I93" s="625" t="e">
        <f t="shared" ref="I93:R93" si="25">I46/I33</f>
        <v>#DIV/0!</v>
      </c>
      <c r="J93" s="625" t="e">
        <f t="shared" si="25"/>
        <v>#DIV/0!</v>
      </c>
      <c r="K93" s="625" t="e">
        <f t="shared" si="25"/>
        <v>#DIV/0!</v>
      </c>
      <c r="L93" s="625" t="e">
        <f t="shared" si="25"/>
        <v>#DIV/0!</v>
      </c>
      <c r="M93" s="625">
        <f t="shared" si="25"/>
        <v>0.16596397087006515</v>
      </c>
      <c r="N93" s="625">
        <f t="shared" si="25"/>
        <v>-2.8679245283018866E-3</v>
      </c>
      <c r="O93" s="625">
        <f t="shared" si="25"/>
        <v>3.4178131788559017E-2</v>
      </c>
      <c r="P93" s="625">
        <f t="shared" si="25"/>
        <v>3.9500201531640466E-2</v>
      </c>
      <c r="Q93" s="625">
        <f t="shared" si="25"/>
        <v>5.120152921900601E-2</v>
      </c>
      <c r="R93" s="625">
        <f t="shared" si="25"/>
        <v>4.6542553191489359E-2</v>
      </c>
    </row>
    <row r="94" spans="1:18" x14ac:dyDescent="0.2">
      <c r="A94" s="16" t="s">
        <v>219</v>
      </c>
      <c r="B94" s="2" t="s">
        <v>220</v>
      </c>
      <c r="C94" s="16" t="s">
        <v>221</v>
      </c>
      <c r="E94" s="618"/>
      <c r="G94" s="186" t="s">
        <v>222</v>
      </c>
      <c r="H94" s="619">
        <f>H29+H30</f>
        <v>0</v>
      </c>
      <c r="I94" s="619">
        <f t="shared" ref="I94:R94" si="26">I29+I30</f>
        <v>0</v>
      </c>
      <c r="J94" s="619">
        <f t="shared" si="26"/>
        <v>0</v>
      </c>
      <c r="K94" s="619">
        <f t="shared" si="26"/>
        <v>0</v>
      </c>
      <c r="L94" s="619">
        <f t="shared" si="26"/>
        <v>0</v>
      </c>
      <c r="M94" s="619">
        <f t="shared" si="26"/>
        <v>1242</v>
      </c>
      <c r="N94" s="619">
        <f t="shared" si="26"/>
        <v>1223</v>
      </c>
      <c r="O94" s="619">
        <f t="shared" si="26"/>
        <v>1459</v>
      </c>
      <c r="P94" s="619">
        <f t="shared" si="26"/>
        <v>1753</v>
      </c>
      <c r="Q94" s="619">
        <f t="shared" si="26"/>
        <v>2128</v>
      </c>
      <c r="R94" s="619">
        <f t="shared" si="26"/>
        <v>2478</v>
      </c>
    </row>
    <row r="95" spans="1:18" x14ac:dyDescent="0.2">
      <c r="G95" s="68" t="s">
        <v>223</v>
      </c>
      <c r="H95" s="614">
        <f t="shared" ref="H95:R95" si="27">H87</f>
        <v>2011</v>
      </c>
      <c r="I95" s="614">
        <f t="shared" si="27"/>
        <v>2012</v>
      </c>
      <c r="J95" s="614">
        <f t="shared" si="27"/>
        <v>2013</v>
      </c>
      <c r="K95" s="614">
        <f t="shared" si="27"/>
        <v>2014</v>
      </c>
      <c r="L95" s="614">
        <f t="shared" si="27"/>
        <v>2015</v>
      </c>
      <c r="M95" s="614">
        <f t="shared" si="27"/>
        <v>2016</v>
      </c>
      <c r="N95" s="614">
        <f t="shared" si="27"/>
        <v>2017</v>
      </c>
      <c r="O95" s="614">
        <f t="shared" si="27"/>
        <v>2018</v>
      </c>
      <c r="P95" s="614">
        <f t="shared" si="27"/>
        <v>2019</v>
      </c>
      <c r="Q95" s="614">
        <f t="shared" si="27"/>
        <v>2020</v>
      </c>
      <c r="R95" s="614">
        <f t="shared" si="27"/>
        <v>2021</v>
      </c>
    </row>
    <row r="96" spans="1:18" x14ac:dyDescent="0.2">
      <c r="A96" s="55" t="s">
        <v>224</v>
      </c>
      <c r="B96" s="2" t="s">
        <v>225</v>
      </c>
      <c r="C96" s="19" t="s">
        <v>226</v>
      </c>
      <c r="E96" s="618"/>
      <c r="F96" s="69"/>
      <c r="G96" s="606" t="s">
        <v>227</v>
      </c>
      <c r="H96" s="619">
        <f t="shared" ref="H96:R96" si="28">H6+H12</f>
        <v>0</v>
      </c>
      <c r="I96" s="607">
        <f t="shared" si="28"/>
        <v>0</v>
      </c>
      <c r="J96" s="607">
        <f t="shared" si="28"/>
        <v>0</v>
      </c>
      <c r="K96" s="607">
        <f t="shared" si="28"/>
        <v>0</v>
      </c>
      <c r="L96" s="607">
        <f t="shared" si="28"/>
        <v>0</v>
      </c>
      <c r="M96" s="607">
        <f t="shared" si="28"/>
        <v>1413</v>
      </c>
      <c r="N96" s="607">
        <f t="shared" si="28"/>
        <v>1313</v>
      </c>
      <c r="O96" s="607">
        <f t="shared" si="28"/>
        <v>1443</v>
      </c>
      <c r="P96" s="607">
        <f t="shared" si="28"/>
        <v>1295</v>
      </c>
      <c r="Q96" s="607">
        <f t="shared" si="28"/>
        <v>1623</v>
      </c>
      <c r="R96" s="607">
        <f t="shared" si="28"/>
        <v>1866</v>
      </c>
    </row>
    <row r="97" spans="1:18" x14ac:dyDescent="0.2">
      <c r="A97" s="16" t="s">
        <v>228</v>
      </c>
      <c r="B97" s="2" t="s">
        <v>229</v>
      </c>
      <c r="C97" s="16" t="s">
        <v>45</v>
      </c>
      <c r="E97" s="618"/>
      <c r="F97" s="69"/>
      <c r="G97" s="18" t="s">
        <v>230</v>
      </c>
      <c r="H97" s="619">
        <f>H19</f>
        <v>0</v>
      </c>
      <c r="I97" s="619">
        <f t="shared" ref="I97:R97" si="29">I19</f>
        <v>0</v>
      </c>
      <c r="J97" s="619">
        <f t="shared" si="29"/>
        <v>0</v>
      </c>
      <c r="K97" s="619">
        <f t="shared" si="29"/>
        <v>0</v>
      </c>
      <c r="L97" s="619">
        <f t="shared" si="29"/>
        <v>0</v>
      </c>
      <c r="M97" s="619">
        <f t="shared" si="29"/>
        <v>496</v>
      </c>
      <c r="N97" s="619">
        <f t="shared" si="29"/>
        <v>430</v>
      </c>
      <c r="O97" s="619">
        <f t="shared" si="29"/>
        <v>415</v>
      </c>
      <c r="P97" s="619">
        <f t="shared" si="29"/>
        <v>350</v>
      </c>
      <c r="Q97" s="619">
        <f t="shared" si="29"/>
        <v>350</v>
      </c>
      <c r="R97" s="619">
        <f t="shared" si="29"/>
        <v>300</v>
      </c>
    </row>
    <row r="98" spans="1:18" x14ac:dyDescent="0.2">
      <c r="A98" s="16" t="s">
        <v>231</v>
      </c>
      <c r="B98" s="2" t="s">
        <v>232</v>
      </c>
      <c r="C98" s="16" t="s">
        <v>233</v>
      </c>
      <c r="E98" s="618"/>
      <c r="F98" s="69"/>
      <c r="G98" s="18" t="s">
        <v>234</v>
      </c>
      <c r="H98" s="619">
        <f t="shared" ref="H98:R98" si="30">H97-H96</f>
        <v>0</v>
      </c>
      <c r="I98" s="607">
        <f t="shared" si="30"/>
        <v>0</v>
      </c>
      <c r="J98" s="607">
        <f t="shared" si="30"/>
        <v>0</v>
      </c>
      <c r="K98" s="607">
        <f t="shared" si="30"/>
        <v>0</v>
      </c>
      <c r="L98" s="607">
        <f t="shared" si="30"/>
        <v>0</v>
      </c>
      <c r="M98" s="607">
        <f t="shared" si="30"/>
        <v>-917</v>
      </c>
      <c r="N98" s="607">
        <f t="shared" si="30"/>
        <v>-883</v>
      </c>
      <c r="O98" s="607">
        <f t="shared" si="30"/>
        <v>-1028</v>
      </c>
      <c r="P98" s="607">
        <f t="shared" si="30"/>
        <v>-945</v>
      </c>
      <c r="Q98" s="607">
        <f t="shared" si="30"/>
        <v>-1273</v>
      </c>
      <c r="R98" s="607">
        <f t="shared" si="30"/>
        <v>-1566</v>
      </c>
    </row>
    <row r="99" spans="1:18" x14ac:dyDescent="0.2">
      <c r="A99" s="55" t="s">
        <v>235</v>
      </c>
      <c r="B99" s="2" t="s">
        <v>236</v>
      </c>
      <c r="C99" s="16" t="s">
        <v>237</v>
      </c>
      <c r="E99" s="620">
        <v>0.4</v>
      </c>
      <c r="F99" s="69"/>
      <c r="G99" s="18" t="s">
        <v>238</v>
      </c>
      <c r="H99" s="626" t="e">
        <f t="shared" ref="H99:R99" si="31">H98/H33</f>
        <v>#DIV/0!</v>
      </c>
      <c r="I99" s="622" t="e">
        <f t="shared" si="31"/>
        <v>#DIV/0!</v>
      </c>
      <c r="J99" s="622" t="e">
        <f t="shared" si="31"/>
        <v>#DIV/0!</v>
      </c>
      <c r="K99" s="622" t="e">
        <f t="shared" si="31"/>
        <v>#DIV/0!</v>
      </c>
      <c r="L99" s="622" t="e">
        <f t="shared" si="31"/>
        <v>#DIV/0!</v>
      </c>
      <c r="M99" s="622">
        <f t="shared" si="31"/>
        <v>-0.35147566117286316</v>
      </c>
      <c r="N99" s="622">
        <f t="shared" si="31"/>
        <v>-0.13328301886792454</v>
      </c>
      <c r="O99" s="622">
        <f t="shared" si="31"/>
        <v>-0.14887762490948589</v>
      </c>
      <c r="P99" s="622">
        <f t="shared" si="31"/>
        <v>-0.12696493349455865</v>
      </c>
      <c r="Q99" s="622">
        <f t="shared" si="31"/>
        <v>-0.17381212452211905</v>
      </c>
      <c r="R99" s="622">
        <f t="shared" si="31"/>
        <v>-0.20824468085106382</v>
      </c>
    </row>
    <row r="100" spans="1:18" x14ac:dyDescent="0.2">
      <c r="A100" s="16" t="s">
        <v>239</v>
      </c>
      <c r="B100" s="2" t="s">
        <v>240</v>
      </c>
      <c r="C100" s="16" t="s">
        <v>241</v>
      </c>
      <c r="D100" s="627">
        <v>0</v>
      </c>
      <c r="E100" s="627">
        <v>5</v>
      </c>
      <c r="F100" s="69"/>
      <c r="G100" s="18" t="s">
        <v>242</v>
      </c>
      <c r="H100" s="623" t="e">
        <f t="shared" ref="H100:R100" si="32">H98/H89</f>
        <v>#DIV/0!</v>
      </c>
      <c r="I100" s="623" t="e">
        <f t="shared" si="32"/>
        <v>#DIV/0!</v>
      </c>
      <c r="J100" s="623" t="e">
        <f t="shared" si="32"/>
        <v>#DIV/0!</v>
      </c>
      <c r="K100" s="623" t="e">
        <f t="shared" si="32"/>
        <v>#DIV/0!</v>
      </c>
      <c r="L100" s="623" t="e">
        <f t="shared" si="32"/>
        <v>#DIV/0!</v>
      </c>
      <c r="M100" s="623">
        <f t="shared" si="32"/>
        <v>-2.084090909090909</v>
      </c>
      <c r="N100" s="623">
        <f t="shared" si="32"/>
        <v>441.5</v>
      </c>
      <c r="O100" s="623">
        <f t="shared" si="32"/>
        <v>-3.9087452471482891</v>
      </c>
      <c r="P100" s="623">
        <f t="shared" si="32"/>
        <v>-2.8549848942598186</v>
      </c>
      <c r="Q100" s="623">
        <f t="shared" si="32"/>
        <v>-3.0898058252427183</v>
      </c>
      <c r="R100" s="623">
        <f t="shared" si="32"/>
        <v>-4.0465116279069768</v>
      </c>
    </row>
    <row r="101" spans="1:18" x14ac:dyDescent="0.2">
      <c r="A101" s="16" t="s">
        <v>243</v>
      </c>
      <c r="B101" s="2" t="s">
        <v>244</v>
      </c>
      <c r="C101" s="16" t="s">
        <v>245</v>
      </c>
      <c r="E101" s="618"/>
      <c r="F101" s="69"/>
      <c r="G101" s="18" t="s">
        <v>246</v>
      </c>
      <c r="H101" s="619">
        <f t="shared" ref="H101:R101" si="33">-(H75+H77+H78+H79+H80+H81)</f>
        <v>0</v>
      </c>
      <c r="I101" s="619">
        <f t="shared" si="33"/>
        <v>0</v>
      </c>
      <c r="J101" s="619">
        <f t="shared" si="33"/>
        <v>0</v>
      </c>
      <c r="K101" s="619">
        <f t="shared" si="33"/>
        <v>0</v>
      </c>
      <c r="L101" s="619">
        <f t="shared" si="33"/>
        <v>0</v>
      </c>
      <c r="M101" s="619">
        <f t="shared" si="33"/>
        <v>0</v>
      </c>
      <c r="N101" s="619">
        <f t="shared" si="33"/>
        <v>0</v>
      </c>
      <c r="O101" s="619">
        <f t="shared" si="33"/>
        <v>0</v>
      </c>
      <c r="P101" s="619">
        <f t="shared" si="33"/>
        <v>0</v>
      </c>
      <c r="Q101" s="619">
        <f t="shared" si="33"/>
        <v>0</v>
      </c>
      <c r="R101" s="619">
        <f t="shared" si="33"/>
        <v>0</v>
      </c>
    </row>
    <row r="102" spans="1:18" x14ac:dyDescent="0.2">
      <c r="A102" s="16" t="s">
        <v>247</v>
      </c>
      <c r="B102" s="2" t="s">
        <v>248</v>
      </c>
      <c r="C102" s="16" t="s">
        <v>249</v>
      </c>
      <c r="E102" s="627">
        <v>1.2</v>
      </c>
      <c r="F102" s="69"/>
      <c r="G102" s="18" t="s">
        <v>250</v>
      </c>
      <c r="H102" s="628" t="e">
        <f t="shared" ref="H102:R102" si="34">H89/H101</f>
        <v>#DIV/0!</v>
      </c>
      <c r="I102" s="623" t="e">
        <f t="shared" si="34"/>
        <v>#DIV/0!</v>
      </c>
      <c r="J102" s="623" t="e">
        <f t="shared" si="34"/>
        <v>#DIV/0!</v>
      </c>
      <c r="K102" s="623" t="e">
        <f t="shared" si="34"/>
        <v>#DIV/0!</v>
      </c>
      <c r="L102" s="623" t="e">
        <f t="shared" si="34"/>
        <v>#DIV/0!</v>
      </c>
      <c r="M102" s="623" t="e">
        <f t="shared" si="34"/>
        <v>#DIV/0!</v>
      </c>
      <c r="N102" s="623" t="e">
        <f t="shared" si="34"/>
        <v>#DIV/0!</v>
      </c>
      <c r="O102" s="623" t="e">
        <f t="shared" si="34"/>
        <v>#DIV/0!</v>
      </c>
      <c r="P102" s="623" t="e">
        <f t="shared" si="34"/>
        <v>#DIV/0!</v>
      </c>
      <c r="Q102" s="623" t="e">
        <f t="shared" si="34"/>
        <v>#DIV/0!</v>
      </c>
      <c r="R102" s="623" t="e">
        <f t="shared" si="34"/>
        <v>#DIV/0!</v>
      </c>
    </row>
    <row r="103" spans="1:18" x14ac:dyDescent="0.2">
      <c r="A103" s="73" t="s">
        <v>251</v>
      </c>
      <c r="B103" s="2" t="s">
        <v>252</v>
      </c>
      <c r="C103" s="16" t="s">
        <v>253</v>
      </c>
      <c r="E103" s="627">
        <v>0</v>
      </c>
      <c r="F103" s="69"/>
      <c r="G103" s="606" t="s">
        <v>254</v>
      </c>
      <c r="H103" s="619">
        <f t="shared" ref="H103:R103" si="35">H5-H20</f>
        <v>0</v>
      </c>
      <c r="I103" s="619">
        <f t="shared" si="35"/>
        <v>0</v>
      </c>
      <c r="J103" s="619">
        <f t="shared" si="35"/>
        <v>0</v>
      </c>
      <c r="K103" s="619">
        <f t="shared" si="35"/>
        <v>0</v>
      </c>
      <c r="L103" s="619">
        <f t="shared" si="35"/>
        <v>0</v>
      </c>
      <c r="M103" s="619">
        <f t="shared" si="35"/>
        <v>1522</v>
      </c>
      <c r="N103" s="619">
        <f t="shared" si="35"/>
        <v>1365</v>
      </c>
      <c r="O103" s="619">
        <f t="shared" si="35"/>
        <v>1493</v>
      </c>
      <c r="P103" s="619">
        <f t="shared" si="35"/>
        <v>1355</v>
      </c>
      <c r="Q103" s="619">
        <f t="shared" si="35"/>
        <v>1673</v>
      </c>
      <c r="R103" s="619">
        <f t="shared" si="35"/>
        <v>1916</v>
      </c>
    </row>
    <row r="104" spans="1:18" x14ac:dyDescent="0.2">
      <c r="A104" s="55" t="s">
        <v>255</v>
      </c>
      <c r="B104" s="2" t="s">
        <v>256</v>
      </c>
      <c r="C104" s="16" t="s">
        <v>257</v>
      </c>
      <c r="E104" s="627">
        <v>1</v>
      </c>
      <c r="F104" s="69"/>
      <c r="G104" s="18" t="s">
        <v>258</v>
      </c>
      <c r="H104" s="628" t="e">
        <f t="shared" ref="H104:R104" si="36">H5/H20</f>
        <v>#DIV/0!</v>
      </c>
      <c r="I104" s="628" t="e">
        <f t="shared" si="36"/>
        <v>#DIV/0!</v>
      </c>
      <c r="J104" s="628" t="e">
        <f t="shared" si="36"/>
        <v>#DIV/0!</v>
      </c>
      <c r="K104" s="628" t="e">
        <f t="shared" si="36"/>
        <v>#DIV/0!</v>
      </c>
      <c r="L104" s="628" t="e">
        <f t="shared" si="36"/>
        <v>#DIV/0!</v>
      </c>
      <c r="M104" s="628" t="e">
        <f t="shared" si="36"/>
        <v>#DIV/0!</v>
      </c>
      <c r="N104" s="628" t="e">
        <f t="shared" si="36"/>
        <v>#DIV/0!</v>
      </c>
      <c r="O104" s="628" t="e">
        <f t="shared" si="36"/>
        <v>#DIV/0!</v>
      </c>
      <c r="P104" s="628" t="e">
        <f t="shared" si="36"/>
        <v>#DIV/0!</v>
      </c>
      <c r="Q104" s="628" t="e">
        <f t="shared" si="36"/>
        <v>#DIV/0!</v>
      </c>
      <c r="R104" s="628" t="e">
        <f t="shared" si="36"/>
        <v>#DIV/0!</v>
      </c>
    </row>
    <row r="105" spans="1:18" x14ac:dyDescent="0.2">
      <c r="A105" s="55" t="s">
        <v>259</v>
      </c>
      <c r="B105" s="2" t="s">
        <v>260</v>
      </c>
      <c r="C105" s="55" t="s">
        <v>261</v>
      </c>
      <c r="E105" s="627">
        <v>1</v>
      </c>
      <c r="F105" s="69"/>
      <c r="G105" s="186" t="s">
        <v>262</v>
      </c>
      <c r="H105" s="628" t="e">
        <f t="shared" ref="H105:R105" si="37">-H6/((H38+H41-H45+H47)/12)</f>
        <v>#DIV/0!</v>
      </c>
      <c r="I105" s="628" t="e">
        <f t="shared" si="37"/>
        <v>#DIV/0!</v>
      </c>
      <c r="J105" s="628" t="e">
        <f t="shared" si="37"/>
        <v>#DIV/0!</v>
      </c>
      <c r="K105" s="628" t="e">
        <f t="shared" si="37"/>
        <v>#DIV/0!</v>
      </c>
      <c r="L105" s="628">
        <f t="shared" si="37"/>
        <v>0</v>
      </c>
      <c r="M105" s="628">
        <f t="shared" si="37"/>
        <v>7.8174273858921159</v>
      </c>
      <c r="N105" s="628">
        <f t="shared" si="37"/>
        <v>2.3775464010864646</v>
      </c>
      <c r="O105" s="628">
        <f t="shared" si="37"/>
        <v>2.6070460704607048</v>
      </c>
      <c r="P105" s="628">
        <f t="shared" si="37"/>
        <v>2.1850393700787403</v>
      </c>
      <c r="Q105" s="628">
        <f t="shared" si="37"/>
        <v>2.8177083333333335</v>
      </c>
      <c r="R105" s="628">
        <f t="shared" si="37"/>
        <v>3.1392121127155477</v>
      </c>
    </row>
    <row r="106" spans="1:18" x14ac:dyDescent="0.2">
      <c r="C106" s="16"/>
      <c r="F106" s="69"/>
      <c r="G106" s="68" t="s">
        <v>263</v>
      </c>
      <c r="H106" s="614">
        <f t="shared" ref="H106:R106" si="38">H95</f>
        <v>2011</v>
      </c>
      <c r="I106" s="614">
        <f t="shared" si="38"/>
        <v>2012</v>
      </c>
      <c r="J106" s="614">
        <f t="shared" si="38"/>
        <v>2013</v>
      </c>
      <c r="K106" s="614">
        <f t="shared" si="38"/>
        <v>2014</v>
      </c>
      <c r="L106" s="614">
        <f t="shared" si="38"/>
        <v>2015</v>
      </c>
      <c r="M106" s="614">
        <f t="shared" si="38"/>
        <v>2016</v>
      </c>
      <c r="N106" s="614">
        <f t="shared" si="38"/>
        <v>2017</v>
      </c>
      <c r="O106" s="614">
        <f t="shared" si="38"/>
        <v>2018</v>
      </c>
      <c r="P106" s="614">
        <f t="shared" si="38"/>
        <v>2019</v>
      </c>
      <c r="Q106" s="614">
        <f t="shared" si="38"/>
        <v>2020</v>
      </c>
      <c r="R106" s="614">
        <f t="shared" si="38"/>
        <v>2021</v>
      </c>
    </row>
    <row r="107" spans="1:18" x14ac:dyDescent="0.2">
      <c r="A107" s="55" t="s">
        <v>264</v>
      </c>
      <c r="B107" s="2" t="s">
        <v>265</v>
      </c>
      <c r="C107" s="55" t="s">
        <v>266</v>
      </c>
      <c r="E107" s="620">
        <v>0.6</v>
      </c>
      <c r="F107" s="69"/>
      <c r="G107" s="606" t="s">
        <v>267</v>
      </c>
      <c r="H107" s="626" t="e">
        <f t="shared" ref="H107:R107" si="39">H17/H4</f>
        <v>#DIV/0!</v>
      </c>
      <c r="I107" s="626" t="e">
        <f t="shared" si="39"/>
        <v>#DIV/0!</v>
      </c>
      <c r="J107" s="626" t="e">
        <f t="shared" si="39"/>
        <v>#DIV/0!</v>
      </c>
      <c r="K107" s="626" t="e">
        <f t="shared" si="39"/>
        <v>#DIV/0!</v>
      </c>
      <c r="L107" s="626" t="e">
        <f t="shared" si="39"/>
        <v>#DIV/0!</v>
      </c>
      <c r="M107" s="626">
        <f t="shared" si="39"/>
        <v>0</v>
      </c>
      <c r="N107" s="626">
        <f t="shared" si="39"/>
        <v>0</v>
      </c>
      <c r="O107" s="626">
        <f t="shared" si="39"/>
        <v>0</v>
      </c>
      <c r="P107" s="626">
        <f t="shared" si="39"/>
        <v>0</v>
      </c>
      <c r="Q107" s="626">
        <f t="shared" si="39"/>
        <v>0</v>
      </c>
      <c r="R107" s="626">
        <f t="shared" si="39"/>
        <v>0</v>
      </c>
    </row>
    <row r="108" spans="1:18" x14ac:dyDescent="0.2">
      <c r="A108" s="55" t="s">
        <v>268</v>
      </c>
      <c r="B108" s="2" t="s">
        <v>269</v>
      </c>
      <c r="C108" s="55" t="s">
        <v>270</v>
      </c>
      <c r="E108" s="620">
        <v>0.4</v>
      </c>
      <c r="F108" s="69"/>
      <c r="G108" s="186" t="s">
        <v>271</v>
      </c>
      <c r="H108" s="626" t="e">
        <f t="shared" ref="H108:R108" si="40">H27/H17</f>
        <v>#DIV/0!</v>
      </c>
      <c r="I108" s="626" t="e">
        <f t="shared" si="40"/>
        <v>#DIV/0!</v>
      </c>
      <c r="J108" s="626" t="e">
        <f t="shared" si="40"/>
        <v>#DIV/0!</v>
      </c>
      <c r="K108" s="626" t="e">
        <f t="shared" si="40"/>
        <v>#DIV/0!</v>
      </c>
      <c r="L108" s="626" t="e">
        <f t="shared" si="40"/>
        <v>#DIV/0!</v>
      </c>
      <c r="M108" s="626" t="e">
        <f t="shared" si="40"/>
        <v>#DIV/0!</v>
      </c>
      <c r="N108" s="626" t="e">
        <f t="shared" si="40"/>
        <v>#DIV/0!</v>
      </c>
      <c r="O108" s="626" t="e">
        <f t="shared" si="40"/>
        <v>#DIV/0!</v>
      </c>
      <c r="P108" s="626" t="e">
        <f t="shared" si="40"/>
        <v>#DIV/0!</v>
      </c>
      <c r="Q108" s="626" t="e">
        <f t="shared" si="40"/>
        <v>#DIV/0!</v>
      </c>
      <c r="R108" s="626" t="e">
        <f t="shared" si="40"/>
        <v>#DIV/0!</v>
      </c>
    </row>
    <row r="109" spans="1:18" x14ac:dyDescent="0.2">
      <c r="C109" s="16"/>
      <c r="F109" s="69"/>
      <c r="G109" s="198" t="s">
        <v>272</v>
      </c>
      <c r="H109" s="614">
        <f t="shared" ref="H109:R109" si="41">H95</f>
        <v>2011</v>
      </c>
      <c r="I109" s="614">
        <f t="shared" si="41"/>
        <v>2012</v>
      </c>
      <c r="J109" s="614">
        <f t="shared" si="41"/>
        <v>2013</v>
      </c>
      <c r="K109" s="614">
        <f t="shared" si="41"/>
        <v>2014</v>
      </c>
      <c r="L109" s="614">
        <f t="shared" si="41"/>
        <v>2015</v>
      </c>
      <c r="M109" s="614">
        <f t="shared" si="41"/>
        <v>2016</v>
      </c>
      <c r="N109" s="614">
        <f t="shared" si="41"/>
        <v>2017</v>
      </c>
      <c r="O109" s="614">
        <f t="shared" si="41"/>
        <v>2018</v>
      </c>
      <c r="P109" s="614">
        <f t="shared" si="41"/>
        <v>2019</v>
      </c>
      <c r="Q109" s="614">
        <f t="shared" si="41"/>
        <v>2020</v>
      </c>
      <c r="R109" s="614">
        <f t="shared" si="41"/>
        <v>2021</v>
      </c>
    </row>
    <row r="110" spans="1:18" x14ac:dyDescent="0.2">
      <c r="A110" s="55" t="s">
        <v>273</v>
      </c>
      <c r="B110" s="2" t="s">
        <v>274</v>
      </c>
      <c r="C110" s="75" t="s">
        <v>275</v>
      </c>
      <c r="E110" s="618"/>
      <c r="F110" s="69"/>
      <c r="G110" s="18" t="s">
        <v>276</v>
      </c>
      <c r="H110" s="629" t="e">
        <f t="shared" ref="H110:R110" si="42">H10/H4</f>
        <v>#DIV/0!</v>
      </c>
      <c r="I110" s="629" t="e">
        <f t="shared" si="42"/>
        <v>#DIV/0!</v>
      </c>
      <c r="J110" s="629" t="e">
        <f t="shared" si="42"/>
        <v>#DIV/0!</v>
      </c>
      <c r="K110" s="629" t="e">
        <f t="shared" si="42"/>
        <v>#DIV/0!</v>
      </c>
      <c r="L110" s="629" t="e">
        <f t="shared" si="42"/>
        <v>#DIV/0!</v>
      </c>
      <c r="M110" s="629">
        <f t="shared" si="42"/>
        <v>0.37055417700578991</v>
      </c>
      <c r="N110" s="629">
        <f t="shared" si="42"/>
        <v>0.4149164166309473</v>
      </c>
      <c r="O110" s="629">
        <f t="shared" si="42"/>
        <v>0.41542678151918561</v>
      </c>
      <c r="P110" s="629">
        <f t="shared" si="42"/>
        <v>0.51311534315486884</v>
      </c>
      <c r="Q110" s="629">
        <f t="shared" si="42"/>
        <v>0.47023432552248257</v>
      </c>
      <c r="R110" s="629">
        <f t="shared" si="42"/>
        <v>0.44592249855407751</v>
      </c>
    </row>
    <row r="111" spans="1:18" x14ac:dyDescent="0.2">
      <c r="A111" s="55" t="s">
        <v>277</v>
      </c>
      <c r="B111" s="2" t="s">
        <v>278</v>
      </c>
      <c r="C111" s="75" t="s">
        <v>279</v>
      </c>
      <c r="E111" s="618"/>
      <c r="F111" s="69"/>
      <c r="G111" s="18" t="s">
        <v>280</v>
      </c>
      <c r="H111" s="629" t="e">
        <f t="shared" ref="H111:R111" si="43">-(H58)/H15</f>
        <v>#DIV/0!</v>
      </c>
      <c r="I111" s="629" t="e">
        <f t="shared" si="43"/>
        <v>#DIV/0!</v>
      </c>
      <c r="J111" s="629" t="e">
        <f t="shared" si="43"/>
        <v>#DIV/0!</v>
      </c>
      <c r="K111" s="629" t="e">
        <f t="shared" si="43"/>
        <v>#DIV/0!</v>
      </c>
      <c r="L111" s="629" t="e">
        <f t="shared" si="43"/>
        <v>#DIV/0!</v>
      </c>
      <c r="M111" s="629">
        <f t="shared" si="43"/>
        <v>2.2321428571428572E-2</v>
      </c>
      <c r="N111" s="629">
        <f t="shared" si="43"/>
        <v>8.4710743801652888E-2</v>
      </c>
      <c r="O111" s="629">
        <f t="shared" si="43"/>
        <v>6.2205466540999059E-2</v>
      </c>
      <c r="P111" s="629">
        <f t="shared" si="43"/>
        <v>0.23109243697478993</v>
      </c>
      <c r="Q111" s="629">
        <f t="shared" si="43"/>
        <v>1.3468013468013467E-2</v>
      </c>
      <c r="R111" s="629">
        <f t="shared" si="43"/>
        <v>1.2970168612191959E-2</v>
      </c>
    </row>
    <row r="112" spans="1:18" x14ac:dyDescent="0.2">
      <c r="A112" s="55" t="s">
        <v>281</v>
      </c>
      <c r="B112" s="2" t="s">
        <v>282</v>
      </c>
      <c r="C112" s="16" t="s">
        <v>283</v>
      </c>
      <c r="E112" s="618"/>
      <c r="F112" s="69"/>
      <c r="G112" s="606" t="s">
        <v>284</v>
      </c>
      <c r="H112" s="623" t="e">
        <f t="shared" ref="H112:R112" si="44">H33/H4</f>
        <v>#DIV/0!</v>
      </c>
      <c r="I112" s="623" t="e">
        <f t="shared" si="44"/>
        <v>#DIV/0!</v>
      </c>
      <c r="J112" s="623" t="e">
        <f t="shared" si="44"/>
        <v>#DIV/0!</v>
      </c>
      <c r="K112" s="623" t="e">
        <f t="shared" si="44"/>
        <v>#DIV/0!</v>
      </c>
      <c r="L112" s="623" t="e">
        <f t="shared" si="44"/>
        <v>#DIV/0!</v>
      </c>
      <c r="M112" s="623">
        <f t="shared" si="44"/>
        <v>1.0789909015715466</v>
      </c>
      <c r="N112" s="623">
        <f t="shared" si="44"/>
        <v>2.8396913844834977</v>
      </c>
      <c r="O112" s="623">
        <f t="shared" si="44"/>
        <v>2.7036021926389977</v>
      </c>
      <c r="P112" s="623">
        <f t="shared" si="44"/>
        <v>2.6744520301832555</v>
      </c>
      <c r="Q112" s="623">
        <f t="shared" si="44"/>
        <v>2.3191893603546547</v>
      </c>
      <c r="R112" s="623">
        <f t="shared" si="44"/>
        <v>2.1746674378253328</v>
      </c>
    </row>
    <row r="113" spans="1:19" x14ac:dyDescent="0.2">
      <c r="A113" s="55" t="s">
        <v>285</v>
      </c>
      <c r="B113" s="2" t="s">
        <v>286</v>
      </c>
      <c r="C113" s="75" t="s">
        <v>287</v>
      </c>
      <c r="E113" s="618"/>
      <c r="F113" s="69"/>
      <c r="G113" s="186" t="s">
        <v>288</v>
      </c>
      <c r="H113" s="623" t="e">
        <f t="shared" ref="H113:R113" si="45">H33/H15</f>
        <v>#DIV/0!</v>
      </c>
      <c r="I113" s="623" t="e">
        <f t="shared" si="45"/>
        <v>#DIV/0!</v>
      </c>
      <c r="J113" s="623" t="e">
        <f t="shared" si="45"/>
        <v>#DIV/0!</v>
      </c>
      <c r="K113" s="623" t="e">
        <f t="shared" si="45"/>
        <v>#DIV/0!</v>
      </c>
      <c r="L113" s="623" t="e">
        <f t="shared" si="45"/>
        <v>#DIV/0!</v>
      </c>
      <c r="M113" s="623">
        <f t="shared" si="45"/>
        <v>2.9118303571428572</v>
      </c>
      <c r="N113" s="623">
        <f t="shared" si="45"/>
        <v>6.8440082644628095</v>
      </c>
      <c r="O113" s="623">
        <f t="shared" si="45"/>
        <v>6.508011310084826</v>
      </c>
      <c r="P113" s="623">
        <f t="shared" si="45"/>
        <v>5.21218487394958</v>
      </c>
      <c r="Q113" s="623">
        <f t="shared" si="45"/>
        <v>4.9319865319865324</v>
      </c>
      <c r="R113" s="623">
        <f t="shared" si="45"/>
        <v>4.8767833981841768</v>
      </c>
    </row>
    <row r="114" spans="1:19" x14ac:dyDescent="0.2">
      <c r="A114" s="16" t="s">
        <v>289</v>
      </c>
      <c r="B114" s="2" t="s">
        <v>290</v>
      </c>
      <c r="C114" s="75" t="s">
        <v>291</v>
      </c>
      <c r="D114" s="620">
        <v>0.5</v>
      </c>
      <c r="E114" s="620">
        <f>1/3</f>
        <v>0.33333333333333331</v>
      </c>
      <c r="F114" s="69"/>
      <c r="G114" s="18" t="s">
        <v>292</v>
      </c>
      <c r="H114" s="629" t="e">
        <f t="shared" ref="H114:R114" si="46">H27/H4</f>
        <v>#DIV/0!</v>
      </c>
      <c r="I114" s="629" t="e">
        <f t="shared" si="46"/>
        <v>#DIV/0!</v>
      </c>
      <c r="J114" s="629" t="e">
        <f t="shared" si="46"/>
        <v>#DIV/0!</v>
      </c>
      <c r="K114" s="629" t="e">
        <f t="shared" si="46"/>
        <v>#DIV/0!</v>
      </c>
      <c r="L114" s="629" t="e">
        <f t="shared" si="46"/>
        <v>#DIV/0!</v>
      </c>
      <c r="M114" s="629">
        <f t="shared" si="46"/>
        <v>0.79487179487179482</v>
      </c>
      <c r="N114" s="629">
        <f t="shared" si="46"/>
        <v>0.81568795542220318</v>
      </c>
      <c r="O114" s="629">
        <f t="shared" si="46"/>
        <v>0.83750978856695379</v>
      </c>
      <c r="P114" s="629">
        <f t="shared" si="46"/>
        <v>0.87423643550125762</v>
      </c>
      <c r="Q114" s="629">
        <f t="shared" si="46"/>
        <v>0.88917036098796709</v>
      </c>
      <c r="R114" s="629">
        <f t="shared" si="46"/>
        <v>0.91324465008675537</v>
      </c>
    </row>
    <row r="115" spans="1:19" x14ac:dyDescent="0.2">
      <c r="A115" s="77"/>
      <c r="C115" s="77"/>
      <c r="D115" s="78"/>
      <c r="E115" s="79"/>
      <c r="F115" s="69"/>
      <c r="G115" s="604" t="s">
        <v>293</v>
      </c>
      <c r="H115" s="614">
        <f t="shared" ref="H115:R115" si="47">H109</f>
        <v>2011</v>
      </c>
      <c r="I115" s="614">
        <f t="shared" si="47"/>
        <v>2012</v>
      </c>
      <c r="J115" s="614">
        <f t="shared" si="47"/>
        <v>2013</v>
      </c>
      <c r="K115" s="614">
        <f t="shared" si="47"/>
        <v>2014</v>
      </c>
      <c r="L115" s="614">
        <f t="shared" si="47"/>
        <v>2015</v>
      </c>
      <c r="M115" s="614">
        <f t="shared" si="47"/>
        <v>2016</v>
      </c>
      <c r="N115" s="614">
        <f t="shared" si="47"/>
        <v>2017</v>
      </c>
      <c r="O115" s="614">
        <f t="shared" si="47"/>
        <v>2018</v>
      </c>
      <c r="P115" s="614">
        <f t="shared" si="47"/>
        <v>2019</v>
      </c>
      <c r="Q115" s="614">
        <f t="shared" si="47"/>
        <v>2020</v>
      </c>
      <c r="R115" s="614">
        <f t="shared" si="47"/>
        <v>2021</v>
      </c>
    </row>
    <row r="116" spans="1:19" x14ac:dyDescent="0.2">
      <c r="A116" s="16" t="s">
        <v>294</v>
      </c>
      <c r="B116" s="2" t="s">
        <v>295</v>
      </c>
      <c r="C116" s="16" t="s">
        <v>296</v>
      </c>
      <c r="D116" s="80"/>
      <c r="E116" s="620">
        <v>0.05</v>
      </c>
      <c r="G116" s="606" t="s">
        <v>297</v>
      </c>
      <c r="H116" s="622" t="e">
        <f t="shared" ref="H116:R116" si="48">H35/H33</f>
        <v>#DIV/0!</v>
      </c>
      <c r="I116" s="622" t="e">
        <f t="shared" si="48"/>
        <v>#DIV/0!</v>
      </c>
      <c r="J116" s="622" t="e">
        <f t="shared" si="48"/>
        <v>#DIV/0!</v>
      </c>
      <c r="K116" s="622" t="e">
        <f t="shared" si="48"/>
        <v>#DIV/0!</v>
      </c>
      <c r="L116" s="622" t="e">
        <f t="shared" si="48"/>
        <v>#DIV/0!</v>
      </c>
      <c r="M116" s="622">
        <f t="shared" si="48"/>
        <v>0.2407052510540437</v>
      </c>
      <c r="N116" s="622">
        <f t="shared" si="48"/>
        <v>0.21690566037735848</v>
      </c>
      <c r="O116" s="622">
        <f t="shared" si="48"/>
        <v>0.20811006517016656</v>
      </c>
      <c r="P116" s="622">
        <f t="shared" si="48"/>
        <v>0.19306731156791615</v>
      </c>
      <c r="Q116" s="622">
        <f t="shared" si="48"/>
        <v>0.19620425996723101</v>
      </c>
      <c r="R116" s="622">
        <f t="shared" si="48"/>
        <v>0.19109042553191488</v>
      </c>
    </row>
    <row r="117" spans="1:19" x14ac:dyDescent="0.2">
      <c r="A117" s="16" t="s">
        <v>298</v>
      </c>
      <c r="B117" s="2" t="s">
        <v>299</v>
      </c>
      <c r="C117" s="16" t="s">
        <v>300</v>
      </c>
      <c r="E117" s="620">
        <v>0.95</v>
      </c>
      <c r="G117" s="18" t="s">
        <v>301</v>
      </c>
      <c r="H117" s="629" t="e">
        <f t="shared" ref="H117:R117" si="49">(H36+H34)/H33</f>
        <v>#DIV/0!</v>
      </c>
      <c r="I117" s="629" t="e">
        <f t="shared" si="49"/>
        <v>#DIV/0!</v>
      </c>
      <c r="J117" s="629" t="e">
        <f t="shared" si="49"/>
        <v>#DIV/0!</v>
      </c>
      <c r="K117" s="629" t="e">
        <f t="shared" si="49"/>
        <v>#DIV/0!</v>
      </c>
      <c r="L117" s="629" t="e">
        <f t="shared" si="49"/>
        <v>#DIV/0!</v>
      </c>
      <c r="M117" s="629">
        <f t="shared" si="49"/>
        <v>0.75699501724798779</v>
      </c>
      <c r="N117" s="629">
        <f t="shared" si="49"/>
        <v>0.78309433962264152</v>
      </c>
      <c r="O117" s="629">
        <f t="shared" si="49"/>
        <v>0.7918899348298335</v>
      </c>
      <c r="P117" s="629">
        <f t="shared" si="49"/>
        <v>0.80693268843208388</v>
      </c>
      <c r="Q117" s="629">
        <f t="shared" si="49"/>
        <v>0.80379574003276899</v>
      </c>
      <c r="R117" s="629">
        <f t="shared" si="49"/>
        <v>0.80890957446808509</v>
      </c>
    </row>
    <row r="118" spans="1:19" x14ac:dyDescent="0.2">
      <c r="A118" s="16" t="s">
        <v>302</v>
      </c>
      <c r="B118" s="2" t="s">
        <v>303</v>
      </c>
      <c r="C118" s="16" t="s">
        <v>304</v>
      </c>
      <c r="E118" s="620">
        <v>0.95</v>
      </c>
      <c r="G118" s="186" t="s">
        <v>305</v>
      </c>
      <c r="H118" s="622" t="e">
        <f t="shared" ref="H118:R118" si="50">H38/(H38+H41)</f>
        <v>#DIV/0!</v>
      </c>
      <c r="I118" s="622" t="e">
        <f t="shared" si="50"/>
        <v>#DIV/0!</v>
      </c>
      <c r="J118" s="622" t="e">
        <f t="shared" si="50"/>
        <v>#DIV/0!</v>
      </c>
      <c r="K118" s="622" t="e">
        <f t="shared" si="50"/>
        <v>#DIV/0!</v>
      </c>
      <c r="L118" s="622" t="e">
        <f t="shared" si="50"/>
        <v>#DIV/0!</v>
      </c>
      <c r="M118" s="622">
        <f t="shared" si="50"/>
        <v>0</v>
      </c>
      <c r="N118" s="622">
        <f t="shared" si="50"/>
        <v>0</v>
      </c>
      <c r="O118" s="622">
        <f t="shared" si="50"/>
        <v>0</v>
      </c>
      <c r="P118" s="622">
        <f t="shared" si="50"/>
        <v>0</v>
      </c>
      <c r="Q118" s="622">
        <f t="shared" si="50"/>
        <v>0</v>
      </c>
      <c r="R118" s="622">
        <f t="shared" si="50"/>
        <v>0</v>
      </c>
    </row>
    <row r="119" spans="1:19" x14ac:dyDescent="0.2">
      <c r="A119" s="77"/>
      <c r="C119" s="78"/>
      <c r="D119" s="78"/>
      <c r="E119" s="79"/>
      <c r="F119" s="69"/>
      <c r="G119" s="604" t="s">
        <v>306</v>
      </c>
      <c r="H119" s="614">
        <f>H115</f>
        <v>2011</v>
      </c>
      <c r="I119" s="614">
        <f t="shared" ref="I119:R119" si="51">I115</f>
        <v>2012</v>
      </c>
      <c r="J119" s="614">
        <f t="shared" si="51"/>
        <v>2013</v>
      </c>
      <c r="K119" s="614">
        <f t="shared" si="51"/>
        <v>2014</v>
      </c>
      <c r="L119" s="614">
        <f t="shared" si="51"/>
        <v>2015</v>
      </c>
      <c r="M119" s="614">
        <f t="shared" si="51"/>
        <v>2016</v>
      </c>
      <c r="N119" s="614">
        <f t="shared" si="51"/>
        <v>2017</v>
      </c>
      <c r="O119" s="614">
        <f t="shared" si="51"/>
        <v>2018</v>
      </c>
      <c r="P119" s="614">
        <f t="shared" si="51"/>
        <v>2019</v>
      </c>
      <c r="Q119" s="614">
        <f t="shared" si="51"/>
        <v>2020</v>
      </c>
      <c r="R119" s="614">
        <f t="shared" si="51"/>
        <v>2021</v>
      </c>
    </row>
    <row r="120" spans="1:19" x14ac:dyDescent="0.2">
      <c r="A120" s="4" t="s">
        <v>307</v>
      </c>
      <c r="B120" s="2" t="s">
        <v>308</v>
      </c>
      <c r="C120" s="16" t="s">
        <v>309</v>
      </c>
      <c r="D120" s="630">
        <v>0.5</v>
      </c>
      <c r="E120" s="631" t="s">
        <v>310</v>
      </c>
      <c r="F120" s="4"/>
      <c r="G120" s="606" t="s">
        <v>311</v>
      </c>
      <c r="H120" s="623" t="e">
        <f t="shared" ref="H120:R120" si="52">IF(H116&lt;$D$120,$E$120,H35/H4)</f>
        <v>#DIV/0!</v>
      </c>
      <c r="I120" s="623" t="e">
        <f t="shared" si="52"/>
        <v>#DIV/0!</v>
      </c>
      <c r="J120" s="623" t="e">
        <f t="shared" si="52"/>
        <v>#DIV/0!</v>
      </c>
      <c r="K120" s="623" t="e">
        <f t="shared" si="52"/>
        <v>#DIV/0!</v>
      </c>
      <c r="L120" s="623" t="e">
        <f t="shared" si="52"/>
        <v>#DIV/0!</v>
      </c>
      <c r="M120" s="623" t="str">
        <f t="shared" si="52"/>
        <v>N/A</v>
      </c>
      <c r="N120" s="623" t="str">
        <f t="shared" si="52"/>
        <v>N/A</v>
      </c>
      <c r="O120" s="623" t="str">
        <f t="shared" si="52"/>
        <v>N/A</v>
      </c>
      <c r="P120" s="623" t="str">
        <f t="shared" si="52"/>
        <v>N/A</v>
      </c>
      <c r="Q120" s="623" t="str">
        <f t="shared" si="52"/>
        <v>N/A</v>
      </c>
      <c r="R120" s="623" t="str">
        <f t="shared" si="52"/>
        <v>N/A</v>
      </c>
    </row>
    <row r="121" spans="1:19" x14ac:dyDescent="0.2">
      <c r="A121" s="4" t="s">
        <v>312</v>
      </c>
      <c r="B121" s="2" t="s">
        <v>313</v>
      </c>
      <c r="C121" s="16" t="s">
        <v>314</v>
      </c>
      <c r="D121" s="630">
        <v>0.5</v>
      </c>
      <c r="E121" s="631" t="s">
        <v>310</v>
      </c>
      <c r="F121" s="4"/>
      <c r="G121" s="18" t="s">
        <v>315</v>
      </c>
      <c r="H121" s="623" t="e">
        <f t="shared" ref="H121:R121" si="53">IF(H116&lt;$D$121,$E$121,H35/H15)</f>
        <v>#DIV/0!</v>
      </c>
      <c r="I121" s="623" t="e">
        <f t="shared" si="53"/>
        <v>#DIV/0!</v>
      </c>
      <c r="J121" s="623" t="e">
        <f t="shared" si="53"/>
        <v>#DIV/0!</v>
      </c>
      <c r="K121" s="623" t="e">
        <f t="shared" si="53"/>
        <v>#DIV/0!</v>
      </c>
      <c r="L121" s="623" t="e">
        <f t="shared" si="53"/>
        <v>#DIV/0!</v>
      </c>
      <c r="M121" s="623" t="str">
        <f t="shared" si="53"/>
        <v>N/A</v>
      </c>
      <c r="N121" s="623" t="str">
        <f t="shared" si="53"/>
        <v>N/A</v>
      </c>
      <c r="O121" s="623" t="str">
        <f t="shared" si="53"/>
        <v>N/A</v>
      </c>
      <c r="P121" s="623" t="str">
        <f t="shared" si="53"/>
        <v>N/A</v>
      </c>
      <c r="Q121" s="623" t="str">
        <f t="shared" si="53"/>
        <v>N/A</v>
      </c>
      <c r="R121" s="623" t="str">
        <f t="shared" si="53"/>
        <v>N/A</v>
      </c>
    </row>
    <row r="122" spans="1:19" x14ac:dyDescent="0.2">
      <c r="A122" s="4" t="s">
        <v>316</v>
      </c>
      <c r="B122" s="2" t="s">
        <v>317</v>
      </c>
      <c r="C122" s="16" t="s">
        <v>217</v>
      </c>
      <c r="D122" s="630">
        <v>0.5</v>
      </c>
      <c r="E122" s="631" t="s">
        <v>310</v>
      </c>
      <c r="F122" s="4"/>
      <c r="G122" s="606" t="s">
        <v>318</v>
      </c>
      <c r="H122" s="629" t="e">
        <f t="shared" ref="H122:R122" si="54">IF(H116&lt;$D$122,$E$122,H46/H33)</f>
        <v>#DIV/0!</v>
      </c>
      <c r="I122" s="629" t="e">
        <f t="shared" si="54"/>
        <v>#DIV/0!</v>
      </c>
      <c r="J122" s="629" t="e">
        <f t="shared" si="54"/>
        <v>#DIV/0!</v>
      </c>
      <c r="K122" s="629" t="e">
        <f t="shared" si="54"/>
        <v>#DIV/0!</v>
      </c>
      <c r="L122" s="629" t="e">
        <f t="shared" si="54"/>
        <v>#DIV/0!</v>
      </c>
      <c r="M122" s="629" t="str">
        <f t="shared" si="54"/>
        <v>N/A</v>
      </c>
      <c r="N122" s="629" t="str">
        <f t="shared" si="54"/>
        <v>N/A</v>
      </c>
      <c r="O122" s="629" t="str">
        <f t="shared" si="54"/>
        <v>N/A</v>
      </c>
      <c r="P122" s="629" t="str">
        <f t="shared" si="54"/>
        <v>N/A</v>
      </c>
      <c r="Q122" s="629" t="str">
        <f t="shared" si="54"/>
        <v>N/A</v>
      </c>
      <c r="R122" s="629" t="str">
        <f t="shared" si="54"/>
        <v>N/A</v>
      </c>
    </row>
    <row r="123" spans="1:19" x14ac:dyDescent="0.2">
      <c r="A123" s="4" t="s">
        <v>319</v>
      </c>
      <c r="B123" s="2" t="s">
        <v>320</v>
      </c>
      <c r="C123" s="16" t="s">
        <v>321</v>
      </c>
      <c r="D123" s="630">
        <v>0.5</v>
      </c>
      <c r="E123" s="631" t="s">
        <v>310</v>
      </c>
      <c r="F123" s="4"/>
      <c r="G123" s="18" t="s">
        <v>322</v>
      </c>
      <c r="H123" s="629" t="e">
        <f t="shared" ref="H123:R123" si="55">IF(H116&lt;$D$122,$E$123,H51/H33)</f>
        <v>#DIV/0!</v>
      </c>
      <c r="I123" s="629" t="e">
        <f t="shared" si="55"/>
        <v>#DIV/0!</v>
      </c>
      <c r="J123" s="629" t="e">
        <f t="shared" si="55"/>
        <v>#DIV/0!</v>
      </c>
      <c r="K123" s="629" t="e">
        <f t="shared" si="55"/>
        <v>#DIV/0!</v>
      </c>
      <c r="L123" s="629" t="e">
        <f t="shared" si="55"/>
        <v>#DIV/0!</v>
      </c>
      <c r="M123" s="629" t="str">
        <f t="shared" si="55"/>
        <v>N/A</v>
      </c>
      <c r="N123" s="629" t="str">
        <f t="shared" si="55"/>
        <v>N/A</v>
      </c>
      <c r="O123" s="629" t="str">
        <f t="shared" si="55"/>
        <v>N/A</v>
      </c>
      <c r="P123" s="629" t="str">
        <f t="shared" si="55"/>
        <v>N/A</v>
      </c>
      <c r="Q123" s="629" t="str">
        <f t="shared" si="55"/>
        <v>N/A</v>
      </c>
      <c r="R123" s="629" t="str">
        <f t="shared" si="55"/>
        <v>N/A</v>
      </c>
    </row>
    <row r="124" spans="1:19" x14ac:dyDescent="0.2">
      <c r="A124" s="4" t="s">
        <v>323</v>
      </c>
      <c r="B124" s="2" t="s">
        <v>324</v>
      </c>
      <c r="C124" s="16" t="s">
        <v>325</v>
      </c>
      <c r="D124" s="630">
        <v>0.5</v>
      </c>
      <c r="E124" s="631" t="s">
        <v>310</v>
      </c>
      <c r="F124" s="4"/>
      <c r="G124" s="18" t="s">
        <v>326</v>
      </c>
      <c r="H124" s="629" t="e">
        <f t="shared" ref="H124:R124" si="56">IF(H116&lt;$D$124,$E$124,H51/H4)</f>
        <v>#DIV/0!</v>
      </c>
      <c r="I124" s="629" t="e">
        <f t="shared" si="56"/>
        <v>#DIV/0!</v>
      </c>
      <c r="J124" s="629" t="e">
        <f t="shared" si="56"/>
        <v>#DIV/0!</v>
      </c>
      <c r="K124" s="629" t="e">
        <f t="shared" si="56"/>
        <v>#DIV/0!</v>
      </c>
      <c r="L124" s="629" t="e">
        <f t="shared" si="56"/>
        <v>#DIV/0!</v>
      </c>
      <c r="M124" s="629" t="str">
        <f t="shared" si="56"/>
        <v>N/A</v>
      </c>
      <c r="N124" s="629" t="str">
        <f t="shared" si="56"/>
        <v>N/A</v>
      </c>
      <c r="O124" s="629" t="str">
        <f t="shared" si="56"/>
        <v>N/A</v>
      </c>
      <c r="P124" s="629" t="str">
        <f t="shared" si="56"/>
        <v>N/A</v>
      </c>
      <c r="Q124" s="629" t="str">
        <f t="shared" si="56"/>
        <v>N/A</v>
      </c>
      <c r="R124" s="629" t="str">
        <f t="shared" si="56"/>
        <v>N/A</v>
      </c>
    </row>
    <row r="125" spans="1:19" x14ac:dyDescent="0.2">
      <c r="A125" s="4" t="s">
        <v>327</v>
      </c>
      <c r="B125" s="2" t="s">
        <v>328</v>
      </c>
      <c r="C125" s="16" t="s">
        <v>329</v>
      </c>
      <c r="D125" s="630">
        <v>0.5</v>
      </c>
      <c r="E125" s="631" t="s">
        <v>310</v>
      </c>
      <c r="F125" s="4"/>
      <c r="G125" s="186" t="s">
        <v>330</v>
      </c>
      <c r="H125" s="629" t="e">
        <f t="shared" ref="H125:R125" si="57">IF(H116&lt;$D$125,$E$125,H51/H27)</f>
        <v>#DIV/0!</v>
      </c>
      <c r="I125" s="629" t="e">
        <f t="shared" si="57"/>
        <v>#DIV/0!</v>
      </c>
      <c r="J125" s="629" t="e">
        <f t="shared" si="57"/>
        <v>#DIV/0!</v>
      </c>
      <c r="K125" s="629" t="e">
        <f t="shared" si="57"/>
        <v>#DIV/0!</v>
      </c>
      <c r="L125" s="629" t="e">
        <f t="shared" si="57"/>
        <v>#DIV/0!</v>
      </c>
      <c r="M125" s="629" t="str">
        <f t="shared" si="57"/>
        <v>N/A</v>
      </c>
      <c r="N125" s="629" t="str">
        <f t="shared" si="57"/>
        <v>N/A</v>
      </c>
      <c r="O125" s="629" t="str">
        <f t="shared" si="57"/>
        <v>N/A</v>
      </c>
      <c r="P125" s="629" t="str">
        <f t="shared" si="57"/>
        <v>N/A</v>
      </c>
      <c r="Q125" s="629" t="str">
        <f t="shared" si="57"/>
        <v>N/A</v>
      </c>
      <c r="R125" s="629" t="str">
        <f t="shared" si="57"/>
        <v>N/A</v>
      </c>
    </row>
    <row r="126" spans="1:19" x14ac:dyDescent="0.2">
      <c r="C126" s="78"/>
      <c r="D126" s="78"/>
      <c r="E126" s="79"/>
      <c r="F126" s="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x14ac:dyDescent="0.2">
      <c r="F127" s="4"/>
      <c r="H127" s="614">
        <f>H119</f>
        <v>2011</v>
      </c>
      <c r="I127" s="614">
        <f t="shared" ref="I127:R127" si="58">I119</f>
        <v>2012</v>
      </c>
      <c r="J127" s="614">
        <f t="shared" si="58"/>
        <v>2013</v>
      </c>
      <c r="K127" s="614">
        <f t="shared" si="58"/>
        <v>2014</v>
      </c>
      <c r="L127" s="614">
        <f t="shared" si="58"/>
        <v>2015</v>
      </c>
      <c r="M127" s="614">
        <f t="shared" si="58"/>
        <v>2016</v>
      </c>
      <c r="N127" s="614">
        <f t="shared" si="58"/>
        <v>2017</v>
      </c>
      <c r="O127" s="614">
        <f t="shared" si="58"/>
        <v>2018</v>
      </c>
      <c r="P127" s="614">
        <f t="shared" si="58"/>
        <v>2019</v>
      </c>
      <c r="Q127" s="614">
        <f t="shared" si="58"/>
        <v>2020</v>
      </c>
      <c r="R127" s="614">
        <f t="shared" si="58"/>
        <v>2021</v>
      </c>
    </row>
    <row r="128" spans="1:19" x14ac:dyDescent="0.2">
      <c r="G128" s="632" t="s">
        <v>331</v>
      </c>
      <c r="H128" s="633">
        <f t="shared" ref="H128:R128" si="59">H33</f>
        <v>0</v>
      </c>
      <c r="I128" s="633">
        <f t="shared" si="59"/>
        <v>0</v>
      </c>
      <c r="J128" s="633">
        <f t="shared" si="59"/>
        <v>0</v>
      </c>
      <c r="K128" s="633">
        <f t="shared" si="59"/>
        <v>0</v>
      </c>
      <c r="L128" s="633">
        <f t="shared" si="59"/>
        <v>0</v>
      </c>
      <c r="M128" s="633">
        <f t="shared" si="59"/>
        <v>2609</v>
      </c>
      <c r="N128" s="633">
        <f t="shared" si="59"/>
        <v>6625</v>
      </c>
      <c r="O128" s="633">
        <f t="shared" si="59"/>
        <v>6905</v>
      </c>
      <c r="P128" s="633">
        <f t="shared" si="59"/>
        <v>7443</v>
      </c>
      <c r="Q128" s="633">
        <f t="shared" si="59"/>
        <v>7324</v>
      </c>
      <c r="R128" s="633">
        <f t="shared" si="59"/>
        <v>7520</v>
      </c>
    </row>
    <row r="129" spans="3:19" x14ac:dyDescent="0.2">
      <c r="G129" s="632" t="s">
        <v>332</v>
      </c>
      <c r="H129" s="633">
        <f t="shared" ref="H129:R130" si="60">H35</f>
        <v>0</v>
      </c>
      <c r="I129" s="633">
        <f t="shared" si="60"/>
        <v>0</v>
      </c>
      <c r="J129" s="633">
        <f t="shared" si="60"/>
        <v>0</v>
      </c>
      <c r="K129" s="633">
        <f t="shared" si="60"/>
        <v>0</v>
      </c>
      <c r="L129" s="633">
        <f t="shared" si="60"/>
        <v>0</v>
      </c>
      <c r="M129" s="633">
        <f t="shared" si="60"/>
        <v>628</v>
      </c>
      <c r="N129" s="633">
        <f t="shared" si="60"/>
        <v>1437</v>
      </c>
      <c r="O129" s="633">
        <f t="shared" si="60"/>
        <v>1437</v>
      </c>
      <c r="P129" s="633">
        <f t="shared" si="60"/>
        <v>1437</v>
      </c>
      <c r="Q129" s="633">
        <f t="shared" si="60"/>
        <v>1437</v>
      </c>
      <c r="R129" s="633">
        <f t="shared" si="60"/>
        <v>1437</v>
      </c>
    </row>
    <row r="130" spans="3:19" x14ac:dyDescent="0.2">
      <c r="G130" s="632" t="s">
        <v>333</v>
      </c>
      <c r="H130" s="633">
        <f t="shared" si="60"/>
        <v>0</v>
      </c>
      <c r="I130" s="633">
        <f t="shared" si="60"/>
        <v>0</v>
      </c>
      <c r="J130" s="633">
        <f t="shared" si="60"/>
        <v>0</v>
      </c>
      <c r="K130" s="633">
        <f t="shared" si="60"/>
        <v>0</v>
      </c>
      <c r="L130" s="633">
        <f t="shared" si="60"/>
        <v>0</v>
      </c>
      <c r="M130" s="633">
        <f t="shared" si="60"/>
        <v>1975</v>
      </c>
      <c r="N130" s="633">
        <f t="shared" si="60"/>
        <v>5188</v>
      </c>
      <c r="O130" s="633">
        <f t="shared" si="60"/>
        <v>5468</v>
      </c>
      <c r="P130" s="633">
        <f t="shared" si="60"/>
        <v>6006</v>
      </c>
      <c r="Q130" s="633">
        <f t="shared" si="60"/>
        <v>5887</v>
      </c>
      <c r="R130" s="633">
        <f t="shared" si="60"/>
        <v>6083</v>
      </c>
    </row>
    <row r="131" spans="3:19" x14ac:dyDescent="0.2">
      <c r="G131" s="632" t="s">
        <v>334</v>
      </c>
      <c r="H131" s="633">
        <f t="shared" ref="H131:R131" si="61">H38+H41</f>
        <v>0</v>
      </c>
      <c r="I131" s="633">
        <f t="shared" si="61"/>
        <v>0</v>
      </c>
      <c r="J131" s="633">
        <f t="shared" si="61"/>
        <v>0</v>
      </c>
      <c r="K131" s="633">
        <f t="shared" si="61"/>
        <v>0</v>
      </c>
      <c r="L131" s="633">
        <f t="shared" si="61"/>
        <v>0</v>
      </c>
      <c r="M131" s="633">
        <f t="shared" si="61"/>
        <v>-2176</v>
      </c>
      <c r="N131" s="633">
        <f t="shared" si="61"/>
        <v>-6644</v>
      </c>
      <c r="O131" s="633">
        <f t="shared" si="61"/>
        <v>-6669</v>
      </c>
      <c r="P131" s="633">
        <f t="shared" si="61"/>
        <v>-7149</v>
      </c>
      <c r="Q131" s="633">
        <f t="shared" si="61"/>
        <v>-6949</v>
      </c>
      <c r="R131" s="633">
        <f t="shared" si="61"/>
        <v>-7170</v>
      </c>
    </row>
    <row r="132" spans="3:19" x14ac:dyDescent="0.2">
      <c r="G132" s="632" t="s">
        <v>335</v>
      </c>
      <c r="H132" s="633">
        <f t="shared" ref="H132:R132" si="62">H41</f>
        <v>0</v>
      </c>
      <c r="I132" s="633">
        <f t="shared" si="62"/>
        <v>0</v>
      </c>
      <c r="J132" s="633">
        <f t="shared" si="62"/>
        <v>0</v>
      </c>
      <c r="K132" s="633">
        <f t="shared" si="62"/>
        <v>0</v>
      </c>
      <c r="L132" s="633">
        <f t="shared" si="62"/>
        <v>0</v>
      </c>
      <c r="M132" s="633">
        <f t="shared" si="62"/>
        <v>-2176</v>
      </c>
      <c r="N132" s="633">
        <f t="shared" si="62"/>
        <v>-6644</v>
      </c>
      <c r="O132" s="633">
        <f t="shared" si="62"/>
        <v>-6669</v>
      </c>
      <c r="P132" s="633">
        <f t="shared" si="62"/>
        <v>-7149</v>
      </c>
      <c r="Q132" s="633">
        <f t="shared" si="62"/>
        <v>-6949</v>
      </c>
      <c r="R132" s="633">
        <f t="shared" si="62"/>
        <v>-7170</v>
      </c>
    </row>
    <row r="133" spans="3:19" x14ac:dyDescent="0.2">
      <c r="G133" s="632" t="s">
        <v>336</v>
      </c>
      <c r="H133" s="633">
        <f t="shared" ref="H133:R133" si="63">H38</f>
        <v>0</v>
      </c>
      <c r="I133" s="633">
        <f t="shared" si="63"/>
        <v>0</v>
      </c>
      <c r="J133" s="633">
        <f t="shared" si="63"/>
        <v>0</v>
      </c>
      <c r="K133" s="633">
        <f t="shared" si="63"/>
        <v>0</v>
      </c>
      <c r="L133" s="633">
        <f t="shared" si="63"/>
        <v>0</v>
      </c>
      <c r="M133" s="633">
        <f t="shared" si="63"/>
        <v>0</v>
      </c>
      <c r="N133" s="633">
        <f t="shared" si="63"/>
        <v>0</v>
      </c>
      <c r="O133" s="633">
        <f t="shared" si="63"/>
        <v>0</v>
      </c>
      <c r="P133" s="633">
        <f t="shared" si="63"/>
        <v>0</v>
      </c>
      <c r="Q133" s="633">
        <f t="shared" si="63"/>
        <v>0</v>
      </c>
      <c r="R133" s="633">
        <f t="shared" si="63"/>
        <v>0</v>
      </c>
    </row>
    <row r="134" spans="3:19" x14ac:dyDescent="0.2">
      <c r="G134" s="632" t="s">
        <v>337</v>
      </c>
      <c r="H134" s="633">
        <f t="shared" ref="H134:R134" si="64">H46</f>
        <v>0</v>
      </c>
      <c r="I134" s="633">
        <f t="shared" si="64"/>
        <v>0</v>
      </c>
      <c r="J134" s="633">
        <f t="shared" si="64"/>
        <v>0</v>
      </c>
      <c r="K134" s="633">
        <f t="shared" si="64"/>
        <v>0</v>
      </c>
      <c r="L134" s="633">
        <f t="shared" si="64"/>
        <v>0</v>
      </c>
      <c r="M134" s="633">
        <f t="shared" si="64"/>
        <v>433</v>
      </c>
      <c r="N134" s="633">
        <f t="shared" si="64"/>
        <v>-19</v>
      </c>
      <c r="O134" s="633">
        <f t="shared" si="64"/>
        <v>236</v>
      </c>
      <c r="P134" s="633">
        <f t="shared" si="64"/>
        <v>294</v>
      </c>
      <c r="Q134" s="633">
        <f t="shared" si="64"/>
        <v>375</v>
      </c>
      <c r="R134" s="633">
        <f t="shared" si="64"/>
        <v>350</v>
      </c>
    </row>
    <row r="135" spans="3:19" x14ac:dyDescent="0.2">
      <c r="G135" s="632" t="s">
        <v>338</v>
      </c>
      <c r="H135" s="633">
        <f t="shared" ref="H135:R135" si="65">H51</f>
        <v>0</v>
      </c>
      <c r="I135" s="633">
        <f t="shared" si="65"/>
        <v>0</v>
      </c>
      <c r="J135" s="633">
        <f t="shared" si="65"/>
        <v>0</v>
      </c>
      <c r="K135" s="633">
        <f t="shared" si="65"/>
        <v>0</v>
      </c>
      <c r="L135" s="633">
        <f t="shared" si="65"/>
        <v>3.7999999999999999E-2</v>
      </c>
      <c r="M135" s="633">
        <f t="shared" si="65"/>
        <v>433</v>
      </c>
      <c r="N135" s="633">
        <f t="shared" si="65"/>
        <v>-19</v>
      </c>
      <c r="O135" s="633">
        <f t="shared" si="65"/>
        <v>236</v>
      </c>
      <c r="P135" s="633">
        <f t="shared" si="65"/>
        <v>294</v>
      </c>
      <c r="Q135" s="633">
        <f t="shared" si="65"/>
        <v>375</v>
      </c>
      <c r="R135" s="633">
        <f t="shared" si="65"/>
        <v>350</v>
      </c>
    </row>
    <row r="136" spans="3:19" x14ac:dyDescent="0.2">
      <c r="G136" s="632" t="s">
        <v>339</v>
      </c>
      <c r="H136" s="633">
        <f t="shared" ref="H136:R137" si="66">H4</f>
        <v>0</v>
      </c>
      <c r="I136" s="633">
        <f t="shared" si="66"/>
        <v>0</v>
      </c>
      <c r="J136" s="633">
        <f t="shared" si="66"/>
        <v>0</v>
      </c>
      <c r="K136" s="633">
        <f t="shared" si="66"/>
        <v>0</v>
      </c>
      <c r="L136" s="633">
        <f t="shared" si="66"/>
        <v>0</v>
      </c>
      <c r="M136" s="633">
        <f t="shared" si="66"/>
        <v>2418</v>
      </c>
      <c r="N136" s="633">
        <f t="shared" si="66"/>
        <v>2333</v>
      </c>
      <c r="O136" s="633">
        <f t="shared" si="66"/>
        <v>2554</v>
      </c>
      <c r="P136" s="633">
        <f t="shared" si="66"/>
        <v>2783</v>
      </c>
      <c r="Q136" s="633">
        <f t="shared" si="66"/>
        <v>3158</v>
      </c>
      <c r="R136" s="633">
        <f t="shared" si="66"/>
        <v>3458</v>
      </c>
    </row>
    <row r="137" spans="3:19" x14ac:dyDescent="0.2">
      <c r="G137" s="632" t="s">
        <v>340</v>
      </c>
      <c r="H137" s="633">
        <f t="shared" si="66"/>
        <v>0</v>
      </c>
      <c r="I137" s="633">
        <f t="shared" si="66"/>
        <v>0</v>
      </c>
      <c r="J137" s="633">
        <f t="shared" si="66"/>
        <v>0</v>
      </c>
      <c r="K137" s="633">
        <f t="shared" si="66"/>
        <v>0</v>
      </c>
      <c r="L137" s="633">
        <f t="shared" si="66"/>
        <v>0</v>
      </c>
      <c r="M137" s="633">
        <f t="shared" si="66"/>
        <v>1522</v>
      </c>
      <c r="N137" s="633">
        <f t="shared" si="66"/>
        <v>1365</v>
      </c>
      <c r="O137" s="633">
        <f t="shared" si="66"/>
        <v>1493</v>
      </c>
      <c r="P137" s="633">
        <f t="shared" si="66"/>
        <v>1355</v>
      </c>
      <c r="Q137" s="633">
        <f t="shared" si="66"/>
        <v>1673</v>
      </c>
      <c r="R137" s="633">
        <f t="shared" si="66"/>
        <v>1916</v>
      </c>
    </row>
    <row r="138" spans="3:19" x14ac:dyDescent="0.2">
      <c r="G138" s="632" t="s">
        <v>341</v>
      </c>
      <c r="H138" s="633">
        <f t="shared" ref="H138:R138" si="67">H10</f>
        <v>0</v>
      </c>
      <c r="I138" s="633">
        <f t="shared" si="67"/>
        <v>0</v>
      </c>
      <c r="J138" s="633">
        <f t="shared" si="67"/>
        <v>0</v>
      </c>
      <c r="K138" s="633">
        <f t="shared" si="67"/>
        <v>0</v>
      </c>
      <c r="L138" s="633">
        <f t="shared" si="67"/>
        <v>0</v>
      </c>
      <c r="M138" s="633">
        <f t="shared" si="67"/>
        <v>896</v>
      </c>
      <c r="N138" s="633">
        <f t="shared" si="67"/>
        <v>968</v>
      </c>
      <c r="O138" s="633">
        <f t="shared" si="67"/>
        <v>1061</v>
      </c>
      <c r="P138" s="633">
        <f t="shared" si="67"/>
        <v>1428</v>
      </c>
      <c r="Q138" s="633">
        <f t="shared" si="67"/>
        <v>1485</v>
      </c>
      <c r="R138" s="633">
        <f t="shared" si="67"/>
        <v>1542</v>
      </c>
    </row>
    <row r="139" spans="3:19" x14ac:dyDescent="0.2">
      <c r="G139" s="632" t="s">
        <v>342</v>
      </c>
      <c r="H139" s="633">
        <f t="shared" ref="H139:R140" si="68">H19</f>
        <v>0</v>
      </c>
      <c r="I139" s="633">
        <f t="shared" si="68"/>
        <v>0</v>
      </c>
      <c r="J139" s="633">
        <f t="shared" si="68"/>
        <v>0</v>
      </c>
      <c r="K139" s="633">
        <f t="shared" si="68"/>
        <v>0</v>
      </c>
      <c r="L139" s="633">
        <f t="shared" si="68"/>
        <v>0</v>
      </c>
      <c r="M139" s="633">
        <f t="shared" si="68"/>
        <v>496</v>
      </c>
      <c r="N139" s="633">
        <f t="shared" si="68"/>
        <v>430</v>
      </c>
      <c r="O139" s="633">
        <f t="shared" si="68"/>
        <v>415</v>
      </c>
      <c r="P139" s="633">
        <f t="shared" si="68"/>
        <v>350</v>
      </c>
      <c r="Q139" s="633">
        <f t="shared" si="68"/>
        <v>350</v>
      </c>
      <c r="R139" s="633">
        <f t="shared" si="68"/>
        <v>300</v>
      </c>
    </row>
    <row r="140" spans="3:19" x14ac:dyDescent="0.2">
      <c r="G140" s="632" t="s">
        <v>343</v>
      </c>
      <c r="H140" s="633">
        <f t="shared" si="68"/>
        <v>0</v>
      </c>
      <c r="I140" s="633">
        <f t="shared" si="68"/>
        <v>0</v>
      </c>
      <c r="J140" s="633">
        <f t="shared" si="68"/>
        <v>0</v>
      </c>
      <c r="K140" s="633">
        <f t="shared" si="68"/>
        <v>0</v>
      </c>
      <c r="L140" s="633">
        <f t="shared" si="68"/>
        <v>0</v>
      </c>
      <c r="M140" s="633">
        <f t="shared" si="68"/>
        <v>0</v>
      </c>
      <c r="N140" s="633">
        <f t="shared" si="68"/>
        <v>0</v>
      </c>
      <c r="O140" s="633">
        <f t="shared" si="68"/>
        <v>0</v>
      </c>
      <c r="P140" s="633">
        <f t="shared" si="68"/>
        <v>0</v>
      </c>
      <c r="Q140" s="633">
        <f t="shared" si="68"/>
        <v>0</v>
      </c>
      <c r="R140" s="633">
        <f t="shared" si="68"/>
        <v>0</v>
      </c>
    </row>
    <row r="141" spans="3:19" x14ac:dyDescent="0.2">
      <c r="G141" s="632" t="s">
        <v>344</v>
      </c>
      <c r="H141" s="633">
        <f t="shared" ref="H141:R141" si="69">H24</f>
        <v>0</v>
      </c>
      <c r="I141" s="633">
        <f t="shared" si="69"/>
        <v>0</v>
      </c>
      <c r="J141" s="633">
        <f t="shared" si="69"/>
        <v>0</v>
      </c>
      <c r="K141" s="633">
        <f t="shared" si="69"/>
        <v>0</v>
      </c>
      <c r="L141" s="633">
        <f t="shared" si="69"/>
        <v>0</v>
      </c>
      <c r="M141" s="633">
        <f t="shared" si="69"/>
        <v>0</v>
      </c>
      <c r="N141" s="633">
        <f t="shared" si="69"/>
        <v>0</v>
      </c>
      <c r="O141" s="633">
        <f t="shared" si="69"/>
        <v>0</v>
      </c>
      <c r="P141" s="633">
        <f t="shared" si="69"/>
        <v>0</v>
      </c>
      <c r="Q141" s="633">
        <f t="shared" si="69"/>
        <v>0</v>
      </c>
      <c r="R141" s="633">
        <f t="shared" si="69"/>
        <v>0</v>
      </c>
    </row>
    <row r="142" spans="3:19" x14ac:dyDescent="0.2">
      <c r="G142" s="632" t="s">
        <v>345</v>
      </c>
      <c r="H142" s="633">
        <f t="shared" ref="H142:R142" si="70">H27</f>
        <v>0</v>
      </c>
      <c r="I142" s="633">
        <f t="shared" si="70"/>
        <v>0</v>
      </c>
      <c r="J142" s="633">
        <f t="shared" si="70"/>
        <v>0</v>
      </c>
      <c r="K142" s="633">
        <f t="shared" si="70"/>
        <v>0</v>
      </c>
      <c r="L142" s="633">
        <f t="shared" si="70"/>
        <v>0</v>
      </c>
      <c r="M142" s="633">
        <f t="shared" si="70"/>
        <v>1922</v>
      </c>
      <c r="N142" s="633">
        <f t="shared" si="70"/>
        <v>1903</v>
      </c>
      <c r="O142" s="633">
        <f t="shared" si="70"/>
        <v>2139</v>
      </c>
      <c r="P142" s="633">
        <f t="shared" si="70"/>
        <v>2433</v>
      </c>
      <c r="Q142" s="633">
        <f t="shared" si="70"/>
        <v>2808</v>
      </c>
      <c r="R142" s="633">
        <f t="shared" si="70"/>
        <v>3158</v>
      </c>
    </row>
    <row r="143" spans="3:19" x14ac:dyDescent="0.2">
      <c r="C143" s="78"/>
      <c r="D143" s="78"/>
      <c r="E143" s="7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 x14ac:dyDescent="0.2">
      <c r="C144" s="16" t="s">
        <v>346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8" x14ac:dyDescent="0.2">
      <c r="C145" s="1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x14ac:dyDescent="0.2">
      <c r="C146" s="16" t="s">
        <v>347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3:18" x14ac:dyDescent="0.2">
      <c r="C147" s="16" t="s">
        <v>348</v>
      </c>
      <c r="F147" s="2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3:18" x14ac:dyDescent="0.2">
      <c r="C148" s="16"/>
      <c r="F148" s="22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3:18" x14ac:dyDescent="0.2">
      <c r="C149" s="16" t="s">
        <v>349</v>
      </c>
      <c r="F149" s="22"/>
    </row>
    <row r="150" spans="3:18" x14ac:dyDescent="0.2">
      <c r="C150" s="16" t="s">
        <v>350</v>
      </c>
      <c r="F150" s="22"/>
    </row>
  </sheetData>
  <mergeCells count="3">
    <mergeCell ref="K2:L2"/>
    <mergeCell ref="M2:R2"/>
    <mergeCell ref="D87:E87"/>
  </mergeCells>
  <conditionalFormatting sqref="H116:Q116">
    <cfRule type="cellIs" dxfId="1333" priority="51" stopIfTrue="1" operator="greaterThan">
      <formula>$E$116</formula>
    </cfRule>
    <cfRule type="cellIs" dxfId="1332" priority="52" stopIfTrue="1" operator="lessThanOrEqual">
      <formula>$E$116</formula>
    </cfRule>
  </conditionalFormatting>
  <conditionalFormatting sqref="H118:Q118">
    <cfRule type="cellIs" dxfId="1331" priority="49" stopIfTrue="1" operator="lessThanOrEqual">
      <formula>$E$118</formula>
    </cfRule>
    <cfRule type="cellIs" dxfId="1330" priority="50" stopIfTrue="1" operator="greaterThan">
      <formula>$E$118</formula>
    </cfRule>
  </conditionalFormatting>
  <conditionalFormatting sqref="H99:Q99">
    <cfRule type="cellIs" dxfId="1329" priority="47" operator="greaterThan">
      <formula>$E$99</formula>
    </cfRule>
    <cfRule type="cellIs" dxfId="1328" priority="48" operator="lessThanOrEqual">
      <formula>$E$99</formula>
    </cfRule>
  </conditionalFormatting>
  <conditionalFormatting sqref="H102:Q102">
    <cfRule type="cellIs" dxfId="1327" priority="45" stopIfTrue="1" operator="greaterThanOrEqual">
      <formula>$E$102</formula>
    </cfRule>
    <cfRule type="cellIs" dxfId="1326" priority="46" stopIfTrue="1" operator="lessThan">
      <formula>$E$102</formula>
    </cfRule>
  </conditionalFormatting>
  <conditionalFormatting sqref="H104:Q104">
    <cfRule type="cellIs" dxfId="1325" priority="43" stopIfTrue="1" operator="lessThan">
      <formula>$E$104</formula>
    </cfRule>
    <cfRule type="cellIs" dxfId="1324" priority="44" stopIfTrue="1" operator="greaterThanOrEqual">
      <formula>$E$104</formula>
    </cfRule>
  </conditionalFormatting>
  <conditionalFormatting sqref="H103:Q103">
    <cfRule type="cellIs" dxfId="1323" priority="41" stopIfTrue="1" operator="greaterThan">
      <formula>$E$103</formula>
    </cfRule>
    <cfRule type="cellIs" dxfId="1322" priority="42" stopIfTrue="1" operator="lessThanOrEqual">
      <formula>$E$103</formula>
    </cfRule>
  </conditionalFormatting>
  <conditionalFormatting sqref="H100:Q100">
    <cfRule type="cellIs" dxfId="1321" priority="30" stopIfTrue="1" operator="between">
      <formula>$D$100</formula>
      <formula>$E$100</formula>
    </cfRule>
    <cfRule type="cellIs" dxfId="1320" priority="39" stopIfTrue="1" operator="lessThanOrEqual">
      <formula>$D$100</formula>
    </cfRule>
    <cfRule type="cellIs" dxfId="1319" priority="40" stopIfTrue="1" operator="greaterThan">
      <formula>$E$100</formula>
    </cfRule>
  </conditionalFormatting>
  <conditionalFormatting sqref="H117:Q117">
    <cfRule type="cellIs" dxfId="1318" priority="37" stopIfTrue="1" operator="greaterThan">
      <formula>$E$117</formula>
    </cfRule>
    <cfRule type="cellIs" dxfId="1317" priority="38" stopIfTrue="1" operator="lessThanOrEqual">
      <formula>$E$117</formula>
    </cfRule>
  </conditionalFormatting>
  <conditionalFormatting sqref="H107:Q107">
    <cfRule type="cellIs" dxfId="1316" priority="35" stopIfTrue="1" operator="greaterThan">
      <formula>$E$107</formula>
    </cfRule>
    <cfRule type="cellIs" dxfId="1315" priority="36" stopIfTrue="1" operator="lessThanOrEqual">
      <formula>$E$107</formula>
    </cfRule>
  </conditionalFormatting>
  <conditionalFormatting sqref="H108:Q108">
    <cfRule type="cellIs" dxfId="1314" priority="33" stopIfTrue="1" operator="lessThan">
      <formula>$E$108</formula>
    </cfRule>
    <cfRule type="cellIs" dxfId="1313" priority="34" stopIfTrue="1" operator="greaterThanOrEqual">
      <formula>$E$108</formula>
    </cfRule>
  </conditionalFormatting>
  <conditionalFormatting sqref="H93:Q93">
    <cfRule type="cellIs" dxfId="1312" priority="53" stopIfTrue="1" operator="lessThan">
      <formula>$D$93</formula>
    </cfRule>
    <cfRule type="cellIs" dxfId="1311" priority="54" stopIfTrue="1" operator="between">
      <formula>$D$93</formula>
      <formula>$E$93</formula>
    </cfRule>
    <cfRule type="cellIs" dxfId="1310" priority="55" stopIfTrue="1" operator="greaterThan">
      <formula>$E$93</formula>
    </cfRule>
  </conditionalFormatting>
  <conditionalFormatting sqref="H114:Q114">
    <cfRule type="cellIs" dxfId="1309" priority="56" stopIfTrue="1" operator="lessThan">
      <formula>$E$114</formula>
    </cfRule>
    <cfRule type="cellIs" dxfId="1308" priority="57" stopIfTrue="1" operator="between">
      <formula>$D$114</formula>
      <formula>$E$114</formula>
    </cfRule>
    <cfRule type="cellIs" dxfId="1307" priority="58" stopIfTrue="1" operator="greaterThanOrEqual">
      <formula>$D$114</formula>
    </cfRule>
  </conditionalFormatting>
  <conditionalFormatting sqref="H90:Q90">
    <cfRule type="cellIs" dxfId="1306" priority="31" stopIfTrue="1" operator="lessThan">
      <formula>$E$90</formula>
    </cfRule>
    <cfRule type="cellIs" dxfId="1305" priority="32" stopIfTrue="1" operator="greaterThan">
      <formula>$E$90</formula>
    </cfRule>
  </conditionalFormatting>
  <conditionalFormatting sqref="R116">
    <cfRule type="cellIs" dxfId="1304" priority="22" stopIfTrue="1" operator="greaterThan">
      <formula>$E$116</formula>
    </cfRule>
    <cfRule type="cellIs" dxfId="1303" priority="23" stopIfTrue="1" operator="lessThanOrEqual">
      <formula>$E$116</formula>
    </cfRule>
  </conditionalFormatting>
  <conditionalFormatting sqref="R118">
    <cfRule type="cellIs" dxfId="1302" priority="20" stopIfTrue="1" operator="lessThanOrEqual">
      <formula>$E$118</formula>
    </cfRule>
    <cfRule type="cellIs" dxfId="1301" priority="21" stopIfTrue="1" operator="greaterThan">
      <formula>$E$118</formula>
    </cfRule>
  </conditionalFormatting>
  <conditionalFormatting sqref="R99">
    <cfRule type="cellIs" dxfId="1300" priority="18" operator="greaterThan">
      <formula>$E$99</formula>
    </cfRule>
    <cfRule type="cellIs" dxfId="1299" priority="19" operator="lessThanOrEqual">
      <formula>$E$99</formula>
    </cfRule>
  </conditionalFormatting>
  <conditionalFormatting sqref="R102">
    <cfRule type="cellIs" dxfId="1298" priority="16" stopIfTrue="1" operator="greaterThanOrEqual">
      <formula>$E$102</formula>
    </cfRule>
    <cfRule type="cellIs" dxfId="1297" priority="17" stopIfTrue="1" operator="lessThan">
      <formula>$E$102</formula>
    </cfRule>
  </conditionalFormatting>
  <conditionalFormatting sqref="R104">
    <cfRule type="cellIs" dxfId="1296" priority="14" stopIfTrue="1" operator="lessThan">
      <formula>$E$104</formula>
    </cfRule>
    <cfRule type="cellIs" dxfId="1295" priority="15" stopIfTrue="1" operator="greaterThanOrEqual">
      <formula>$E$104</formula>
    </cfRule>
  </conditionalFormatting>
  <conditionalFormatting sqref="R103">
    <cfRule type="cellIs" dxfId="1294" priority="12" stopIfTrue="1" operator="greaterThan">
      <formula>$E$103</formula>
    </cfRule>
    <cfRule type="cellIs" dxfId="1293" priority="13" stopIfTrue="1" operator="lessThanOrEqual">
      <formula>$E$103</formula>
    </cfRule>
  </conditionalFormatting>
  <conditionalFormatting sqref="R100">
    <cfRule type="cellIs" dxfId="1292" priority="1" stopIfTrue="1" operator="between">
      <formula>$D$100</formula>
      <formula>$E$100</formula>
    </cfRule>
    <cfRule type="cellIs" dxfId="1291" priority="10" stopIfTrue="1" operator="lessThanOrEqual">
      <formula>$D$100</formula>
    </cfRule>
    <cfRule type="cellIs" dxfId="1290" priority="11" stopIfTrue="1" operator="greaterThan">
      <formula>$E$100</formula>
    </cfRule>
  </conditionalFormatting>
  <conditionalFormatting sqref="R117">
    <cfRule type="cellIs" dxfId="1289" priority="8" stopIfTrue="1" operator="greaterThan">
      <formula>$E$117</formula>
    </cfRule>
    <cfRule type="cellIs" dxfId="1288" priority="9" stopIfTrue="1" operator="lessThanOrEqual">
      <formula>$E$117</formula>
    </cfRule>
  </conditionalFormatting>
  <conditionalFormatting sqref="R107">
    <cfRule type="cellIs" dxfId="1287" priority="6" stopIfTrue="1" operator="greaterThan">
      <formula>$E$107</formula>
    </cfRule>
    <cfRule type="cellIs" dxfId="1286" priority="7" stopIfTrue="1" operator="lessThanOrEqual">
      <formula>$E$107</formula>
    </cfRule>
  </conditionalFormatting>
  <conditionalFormatting sqref="R108">
    <cfRule type="cellIs" dxfId="1285" priority="4" stopIfTrue="1" operator="lessThan">
      <formula>$E$108</formula>
    </cfRule>
    <cfRule type="cellIs" dxfId="1284" priority="5" stopIfTrue="1" operator="greaterThanOrEqual">
      <formula>$E$108</formula>
    </cfRule>
  </conditionalFormatting>
  <conditionalFormatting sqref="R93">
    <cfRule type="cellIs" dxfId="1283" priority="24" stopIfTrue="1" operator="lessThan">
      <formula>$D$93</formula>
    </cfRule>
    <cfRule type="cellIs" dxfId="1282" priority="25" stopIfTrue="1" operator="between">
      <formula>$D$93</formula>
      <formula>$E$93</formula>
    </cfRule>
    <cfRule type="cellIs" dxfId="1281" priority="26" stopIfTrue="1" operator="greaterThan">
      <formula>$E$93</formula>
    </cfRule>
  </conditionalFormatting>
  <conditionalFormatting sqref="R114">
    <cfRule type="cellIs" dxfId="1280" priority="27" stopIfTrue="1" operator="lessThan">
      <formula>$E$114</formula>
    </cfRule>
    <cfRule type="cellIs" dxfId="1279" priority="28" stopIfTrue="1" operator="between">
      <formula>$D$114</formula>
      <formula>$E$114</formula>
    </cfRule>
    <cfRule type="cellIs" dxfId="1278" priority="29" stopIfTrue="1" operator="greaterThanOrEqual">
      <formula>$D$114</formula>
    </cfRule>
  </conditionalFormatting>
  <conditionalFormatting sqref="R90">
    <cfRule type="cellIs" dxfId="1277" priority="2" stopIfTrue="1" operator="lessThan">
      <formula>$E$90</formula>
    </cfRule>
    <cfRule type="cellIs" dxfId="1276" priority="3" stopIfTrue="1" operator="greaterThan">
      <formula>$E$90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Sisukord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'16'!Prindiala</vt:lpstr>
    </vt:vector>
  </TitlesOfParts>
  <Company>Kultuuriministeerium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Uljas</dc:creator>
  <cp:lastModifiedBy>erle.toiger</cp:lastModifiedBy>
  <dcterms:created xsi:type="dcterms:W3CDTF">2017-01-19T15:18:44Z</dcterms:created>
  <dcterms:modified xsi:type="dcterms:W3CDTF">2017-05-31T14:07:37Z</dcterms:modified>
</cp:coreProperties>
</file>