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570" windowHeight="9435" tabRatio="820"/>
  </bookViews>
  <sheets>
    <sheet name="ELTSA" sheetId="1" r:id="rId1"/>
    <sheet name="MISA" sheetId="4" r:id="rId2"/>
    <sheet name="Tammsaare" sheetId="5" r:id="rId3"/>
    <sheet name="Draama" sheetId="6" r:id="rId4"/>
    <sheet name="EFK" sheetId="7" r:id="rId5"/>
    <sheet name="EFI" sheetId="8" r:id="rId6"/>
    <sheet name="EK" sheetId="9" r:id="rId7"/>
    <sheet name="ERSO" sheetId="10" r:id="rId8"/>
    <sheet name="ETHM" sheetId="11" r:id="rId9"/>
    <sheet name="EVM" sheetId="12" r:id="rId10"/>
    <sheet name="Endla" sheetId="13" r:id="rId11"/>
    <sheet name="HLM" sheetId="14" r:id="rId12"/>
    <sheet name="HiiumaaM" sheetId="15" r:id="rId13"/>
    <sheet name="Jõulumäe" sheetId="16" r:id="rId14"/>
    <sheet name="Kultuurileht" sheetId="17" r:id="rId15"/>
    <sheet name="Narva kirik" sheetId="18" r:id="rId16"/>
    <sheet name="NarvaM" sheetId="19" r:id="rId17"/>
    <sheet name="NUKU" sheetId="20" r:id="rId18"/>
    <sheet name="PärnuM" sheetId="21" r:id="rId19"/>
    <sheet name="Rakvere" sheetId="22" r:id="rId20"/>
    <sheet name="Tartu Jaani kirik" sheetId="23" r:id="rId21"/>
    <sheet name="NO99" sheetId="24" r:id="rId22"/>
    <sheet name="Vanemuine" sheetId="25" r:id="rId23"/>
    <sheet name="Tehvandi" sheetId="26" r:id="rId24"/>
    <sheet name="Ugala" sheetId="27" r:id="rId25"/>
    <sheet name="UNESCO" sheetId="28" r:id="rId26"/>
    <sheet name="VanalinnaTM" sheetId="29" r:id="rId27"/>
    <sheet name="VeneT" sheetId="30" r:id="rId28"/>
    <sheet name="VirumaaM" sheetId="31" r:id="rId29"/>
  </sheets>
  <externalReferences>
    <externalReference r:id="rId30"/>
  </externalReferences>
  <definedNames>
    <definedName name="_xlnm.Print_Area" localSheetId="13">Jõulumäe!$A$1:$H$124</definedName>
  </definedNames>
  <calcPr calcId="145621"/>
</workbook>
</file>

<file path=xl/calcChain.xml><?xml version="1.0" encoding="utf-8"?>
<calcChain xmlns="http://schemas.openxmlformats.org/spreadsheetml/2006/main">
  <c r="B2" i="31" l="1"/>
  <c r="C2" i="31" s="1"/>
  <c r="Z2" i="31"/>
  <c r="B4" i="31"/>
  <c r="C4" i="31"/>
  <c r="B5" i="31"/>
  <c r="C5" i="31"/>
  <c r="U5" i="31"/>
  <c r="X5" i="31"/>
  <c r="Y5" i="31"/>
  <c r="AB5" i="31" s="1"/>
  <c r="Z5" i="31"/>
  <c r="AA5" i="31"/>
  <c r="AC5" i="31"/>
  <c r="B6" i="31"/>
  <c r="C6" i="31" s="1"/>
  <c r="U6" i="31"/>
  <c r="V6" i="31"/>
  <c r="W6" i="31"/>
  <c r="X6" i="31"/>
  <c r="Y6" i="31"/>
  <c r="Z6" i="31"/>
  <c r="AA6" i="31"/>
  <c r="AB6" i="31" s="1"/>
  <c r="AC6" i="31"/>
  <c r="U7" i="31"/>
  <c r="V7" i="31"/>
  <c r="W7" i="31"/>
  <c r="X7" i="31"/>
  <c r="Y7" i="31"/>
  <c r="Z7" i="31"/>
  <c r="AA7" i="31"/>
  <c r="AB7" i="31"/>
  <c r="AC7" i="31"/>
  <c r="U8" i="31"/>
  <c r="V8" i="31"/>
  <c r="W8" i="31"/>
  <c r="X8" i="31"/>
  <c r="Y8" i="31"/>
  <c r="AB8" i="31" s="1"/>
  <c r="Z8" i="31"/>
  <c r="AA8" i="31"/>
  <c r="AC8" i="31"/>
  <c r="U9" i="31"/>
  <c r="V9" i="31"/>
  <c r="W9" i="31"/>
  <c r="X9" i="31"/>
  <c r="Y9" i="31"/>
  <c r="AB9" i="31" s="1"/>
  <c r="Z9" i="31"/>
  <c r="AA9" i="31"/>
  <c r="AC9" i="31"/>
  <c r="U10" i="31"/>
  <c r="V10" i="31"/>
  <c r="W10" i="31"/>
  <c r="X10" i="31"/>
  <c r="Y10" i="31"/>
  <c r="Z10" i="31"/>
  <c r="AA10" i="31"/>
  <c r="AB10" i="31" s="1"/>
  <c r="AC10" i="31"/>
  <c r="U11" i="31"/>
  <c r="V11" i="31"/>
  <c r="W11" i="31"/>
  <c r="X11" i="31"/>
  <c r="Y11" i="31"/>
  <c r="Z11" i="31"/>
  <c r="AA11" i="31"/>
  <c r="AB11" i="31"/>
  <c r="AC11" i="31"/>
  <c r="U12" i="31"/>
  <c r="V12" i="31"/>
  <c r="W12" i="31"/>
  <c r="X12" i="31"/>
  <c r="Y12" i="31"/>
  <c r="AB12" i="31" s="1"/>
  <c r="Z12" i="31"/>
  <c r="AA12" i="31"/>
  <c r="AC12" i="31"/>
  <c r="U13" i="31"/>
  <c r="V13" i="31"/>
  <c r="W13" i="31"/>
  <c r="X13" i="31"/>
  <c r="Y13" i="31"/>
  <c r="AB13" i="31" s="1"/>
  <c r="Z13" i="31"/>
  <c r="AA13" i="31"/>
  <c r="AC13" i="31"/>
  <c r="U14" i="31"/>
  <c r="V14" i="31"/>
  <c r="W14" i="31"/>
  <c r="X14" i="31"/>
  <c r="Y14" i="31"/>
  <c r="Z14" i="31"/>
  <c r="AA14" i="31"/>
  <c r="AB14" i="31" s="1"/>
  <c r="AC14" i="31"/>
  <c r="U15" i="31"/>
  <c r="V15" i="31"/>
  <c r="W15" i="31"/>
  <c r="X15" i="31"/>
  <c r="Y15" i="31"/>
  <c r="Z15" i="31"/>
  <c r="AA15" i="31"/>
  <c r="AB15" i="31"/>
  <c r="AC15" i="31"/>
  <c r="U16" i="31"/>
  <c r="V16" i="31"/>
  <c r="W16" i="31"/>
  <c r="X16" i="31"/>
  <c r="Y16" i="31"/>
  <c r="AB16" i="31" s="1"/>
  <c r="Z16" i="31"/>
  <c r="AA16" i="31"/>
  <c r="AC16" i="31"/>
  <c r="U17" i="31"/>
  <c r="V17" i="31"/>
  <c r="W17" i="31"/>
  <c r="X17" i="31"/>
  <c r="Y17" i="31"/>
  <c r="AB17" i="31" s="1"/>
  <c r="Z17" i="31"/>
  <c r="AA17" i="31"/>
  <c r="AC17" i="31"/>
  <c r="U18" i="31"/>
  <c r="V18" i="31"/>
  <c r="W18" i="31"/>
  <c r="X18" i="31"/>
  <c r="Y18" i="31"/>
  <c r="AB18" i="31" s="1"/>
  <c r="Z18" i="31"/>
  <c r="AA18" i="31"/>
  <c r="AC18" i="31"/>
  <c r="U19" i="31"/>
  <c r="V19" i="31"/>
  <c r="W19" i="31"/>
  <c r="X19" i="31"/>
  <c r="Y19" i="31"/>
  <c r="AB19" i="31" s="1"/>
  <c r="Z19" i="31"/>
  <c r="AA19" i="31"/>
  <c r="AC19" i="31"/>
  <c r="U20" i="31"/>
  <c r="V20" i="31"/>
  <c r="W20" i="31"/>
  <c r="X20" i="31"/>
  <c r="Y20" i="31"/>
  <c r="Z20" i="31"/>
  <c r="AA20" i="31"/>
  <c r="AB20" i="31" s="1"/>
  <c r="AC20" i="31"/>
  <c r="U21" i="31"/>
  <c r="V21" i="31"/>
  <c r="W21" i="31"/>
  <c r="X21" i="31"/>
  <c r="Y21" i="31" s="1"/>
  <c r="AB21" i="31" s="1"/>
  <c r="Z21" i="31"/>
  <c r="AA21" i="31"/>
  <c r="AC21" i="31"/>
  <c r="U22" i="31"/>
  <c r="V22" i="31"/>
  <c r="W22" i="31"/>
  <c r="X22" i="31"/>
  <c r="Z22" i="31"/>
  <c r="AA26" i="31" s="1"/>
  <c r="AB26" i="31" s="1"/>
  <c r="AA22" i="31"/>
  <c r="AC22" i="31"/>
  <c r="U23" i="31"/>
  <c r="V23" i="31"/>
  <c r="W23" i="31"/>
  <c r="X23" i="31"/>
  <c r="Y23" i="31"/>
  <c r="Z23" i="31"/>
  <c r="AA23" i="31" s="1"/>
  <c r="AB23" i="31" s="1"/>
  <c r="AC23" i="31"/>
  <c r="U24" i="31"/>
  <c r="V24" i="31"/>
  <c r="W24" i="31"/>
  <c r="X24" i="31"/>
  <c r="Y24" i="31"/>
  <c r="Z24" i="31"/>
  <c r="AC24" i="31"/>
  <c r="U25" i="31"/>
  <c r="V25" i="31"/>
  <c r="W25" i="31"/>
  <c r="X25" i="31"/>
  <c r="Y25" i="31" s="1"/>
  <c r="AB25" i="31" s="1"/>
  <c r="Z25" i="31"/>
  <c r="AA25" i="31"/>
  <c r="AC25" i="31"/>
  <c r="U26" i="31"/>
  <c r="V26" i="31"/>
  <c r="W26" i="31"/>
  <c r="X26" i="31"/>
  <c r="Y26" i="31"/>
  <c r="Z26" i="31"/>
  <c r="AC26" i="31"/>
  <c r="B7" i="31" l="1"/>
  <c r="B3" i="31"/>
  <c r="C3" i="31" s="1"/>
  <c r="AA24" i="31"/>
  <c r="AB24" i="31" s="1"/>
  <c r="Y22" i="31"/>
  <c r="AB22" i="31" s="1"/>
  <c r="C16" i="30"/>
  <c r="D16" i="30"/>
  <c r="E16" i="30"/>
  <c r="F16" i="30"/>
  <c r="G16" i="30"/>
  <c r="H16" i="30"/>
  <c r="C21" i="30"/>
  <c r="C45" i="30" s="1"/>
  <c r="D21" i="30"/>
  <c r="E21" i="30"/>
  <c r="F21" i="30"/>
  <c r="F45" i="30" s="1"/>
  <c r="G21" i="30"/>
  <c r="G45" i="30" s="1"/>
  <c r="H21" i="30"/>
  <c r="C33" i="30"/>
  <c r="D33" i="30"/>
  <c r="E33" i="30"/>
  <c r="F33" i="30"/>
  <c r="G33" i="30"/>
  <c r="H33" i="30"/>
  <c r="C40" i="30"/>
  <c r="D40" i="30"/>
  <c r="E40" i="30"/>
  <c r="F40" i="30"/>
  <c r="G40" i="30"/>
  <c r="H40" i="30"/>
  <c r="C42" i="30"/>
  <c r="D42" i="30"/>
  <c r="D43" i="30" s="1"/>
  <c r="E42" i="30"/>
  <c r="E43" i="30" s="1"/>
  <c r="F42" i="30"/>
  <c r="G42" i="30"/>
  <c r="H42" i="30"/>
  <c r="H43" i="30" s="1"/>
  <c r="C43" i="30"/>
  <c r="F43" i="30"/>
  <c r="G43" i="30"/>
  <c r="D45" i="30"/>
  <c r="E45" i="30"/>
  <c r="H45" i="30"/>
  <c r="C61" i="30"/>
  <c r="C63" i="30" s="1"/>
  <c r="D61" i="30"/>
  <c r="E61" i="30"/>
  <c r="F61" i="30"/>
  <c r="F63" i="30" s="1"/>
  <c r="G61" i="30"/>
  <c r="G63" i="30" s="1"/>
  <c r="H61" i="30"/>
  <c r="D63" i="30"/>
  <c r="E63" i="30"/>
  <c r="H63" i="30"/>
  <c r="D67" i="30"/>
  <c r="E67" i="30" s="1"/>
  <c r="D76" i="30"/>
  <c r="E76" i="30"/>
  <c r="F76" i="30"/>
  <c r="G76" i="30"/>
  <c r="H76" i="30" s="1"/>
  <c r="C81" i="30"/>
  <c r="C94" i="30"/>
  <c r="D94" i="30"/>
  <c r="E94" i="30"/>
  <c r="F94" i="30"/>
  <c r="G94" i="30"/>
  <c r="H94" i="30"/>
  <c r="C99" i="30"/>
  <c r="D99" i="30"/>
  <c r="E99" i="30"/>
  <c r="F99" i="30"/>
  <c r="G99" i="30"/>
  <c r="H99" i="30"/>
  <c r="C101" i="30"/>
  <c r="C102" i="30" s="1"/>
  <c r="B8" i="31" l="1"/>
  <c r="C7" i="31"/>
  <c r="F67" i="30"/>
  <c r="E81" i="30"/>
  <c r="E101" i="30" s="1"/>
  <c r="E102" i="30" s="1"/>
  <c r="D81" i="30"/>
  <c r="D101" i="30" s="1"/>
  <c r="D102" i="30" s="1"/>
  <c r="C16" i="29"/>
  <c r="C43" i="29" s="1"/>
  <c r="D16" i="29"/>
  <c r="D43" i="29" s="1"/>
  <c r="E16" i="29"/>
  <c r="E43" i="29" s="1"/>
  <c r="F16" i="29"/>
  <c r="G16" i="29"/>
  <c r="G43" i="29" s="1"/>
  <c r="H16" i="29"/>
  <c r="H43" i="29" s="1"/>
  <c r="C21" i="29"/>
  <c r="C46" i="29" s="1"/>
  <c r="C34" i="29"/>
  <c r="D34" i="29"/>
  <c r="E34" i="29"/>
  <c r="F34" i="29"/>
  <c r="G34" i="29"/>
  <c r="H34" i="29"/>
  <c r="C41" i="29"/>
  <c r="D41" i="29"/>
  <c r="D46" i="29" s="1"/>
  <c r="E41" i="29"/>
  <c r="F41" i="29"/>
  <c r="G41" i="29"/>
  <c r="G46" i="29" s="1"/>
  <c r="H41" i="29"/>
  <c r="H46" i="29" s="1"/>
  <c r="F43" i="29"/>
  <c r="F44" i="29" s="1"/>
  <c r="E46" i="29"/>
  <c r="F46" i="29"/>
  <c r="C62" i="29"/>
  <c r="D62" i="29"/>
  <c r="E62" i="29"/>
  <c r="F62" i="29"/>
  <c r="G62" i="29"/>
  <c r="H62" i="29"/>
  <c r="F64" i="29"/>
  <c r="C82" i="29"/>
  <c r="C102" i="29" s="1"/>
  <c r="C103" i="29" s="1"/>
  <c r="D82" i="29"/>
  <c r="D102" i="29" s="1"/>
  <c r="D103" i="29" s="1"/>
  <c r="E82" i="29"/>
  <c r="F82" i="29"/>
  <c r="G82" i="29"/>
  <c r="G102" i="29" s="1"/>
  <c r="G103" i="29" s="1"/>
  <c r="H82" i="29"/>
  <c r="H102" i="29" s="1"/>
  <c r="H103" i="29" s="1"/>
  <c r="C95" i="29"/>
  <c r="D95" i="29"/>
  <c r="E95" i="29"/>
  <c r="F95" i="29"/>
  <c r="G95" i="29"/>
  <c r="H95" i="29"/>
  <c r="C100" i="29"/>
  <c r="D100" i="29"/>
  <c r="E100" i="29"/>
  <c r="F100" i="29"/>
  <c r="G100" i="29"/>
  <c r="H100" i="29"/>
  <c r="E102" i="29"/>
  <c r="E103" i="29" s="1"/>
  <c r="F102" i="29"/>
  <c r="F103" i="29" s="1"/>
  <c r="B9" i="31" l="1"/>
  <c r="C8" i="31"/>
  <c r="F81" i="30"/>
  <c r="F101" i="30" s="1"/>
  <c r="F102" i="30" s="1"/>
  <c r="G67" i="30"/>
  <c r="E44" i="29"/>
  <c r="E64" i="29"/>
  <c r="H64" i="29"/>
  <c r="H44" i="29"/>
  <c r="D64" i="29"/>
  <c r="D44" i="29"/>
  <c r="G64" i="29"/>
  <c r="G44" i="29"/>
  <c r="C64" i="29"/>
  <c r="C44" i="29"/>
  <c r="C16" i="28"/>
  <c r="D16" i="28"/>
  <c r="E16" i="28"/>
  <c r="E43" i="28" s="1"/>
  <c r="F16" i="28"/>
  <c r="G16" i="28"/>
  <c r="H16" i="28"/>
  <c r="C21" i="28"/>
  <c r="C46" i="28" s="1"/>
  <c r="D21" i="28"/>
  <c r="E21" i="28"/>
  <c r="E46" i="28" s="1"/>
  <c r="F21" i="28"/>
  <c r="F46" i="28" s="1"/>
  <c r="G21" i="28"/>
  <c r="G46" i="28" s="1"/>
  <c r="H21" i="28"/>
  <c r="C28" i="28"/>
  <c r="C34" i="28"/>
  <c r="D34" i="28"/>
  <c r="E34" i="28"/>
  <c r="F34" i="28"/>
  <c r="G34" i="28"/>
  <c r="H34" i="28"/>
  <c r="C41" i="28"/>
  <c r="D41" i="28"/>
  <c r="E41" i="28"/>
  <c r="F41" i="28"/>
  <c r="G41" i="28"/>
  <c r="H41" i="28"/>
  <c r="C43" i="28"/>
  <c r="C44" i="28" s="1"/>
  <c r="D43" i="28"/>
  <c r="D44" i="28" s="1"/>
  <c r="F43" i="28"/>
  <c r="G43" i="28"/>
  <c r="G44" i="28" s="1"/>
  <c r="H43" i="28"/>
  <c r="H44" i="28" s="1"/>
  <c r="F44" i="28"/>
  <c r="D46" i="28"/>
  <c r="H46" i="28"/>
  <c r="C62" i="28"/>
  <c r="D62" i="28"/>
  <c r="E62" i="28"/>
  <c r="F62" i="28"/>
  <c r="F64" i="28" s="1"/>
  <c r="G62" i="28"/>
  <c r="H62" i="28"/>
  <c r="C64" i="28"/>
  <c r="D64" i="28"/>
  <c r="G64" i="28"/>
  <c r="H64" i="28"/>
  <c r="C82" i="28"/>
  <c r="D82" i="28"/>
  <c r="E82" i="28"/>
  <c r="F82" i="28"/>
  <c r="F102" i="28" s="1"/>
  <c r="F103" i="28" s="1"/>
  <c r="G82" i="28"/>
  <c r="H82" i="28"/>
  <c r="C95" i="28"/>
  <c r="C102" i="28" s="1"/>
  <c r="C103" i="28" s="1"/>
  <c r="D95" i="28"/>
  <c r="D102" i="28" s="1"/>
  <c r="D103" i="28" s="1"/>
  <c r="E95" i="28"/>
  <c r="F95" i="28"/>
  <c r="G95" i="28"/>
  <c r="G102" i="28" s="1"/>
  <c r="G103" i="28" s="1"/>
  <c r="H95" i="28"/>
  <c r="H102" i="28" s="1"/>
  <c r="H103" i="28" s="1"/>
  <c r="C100" i="28"/>
  <c r="D100" i="28"/>
  <c r="E100" i="28"/>
  <c r="G100" i="28"/>
  <c r="H100" i="28"/>
  <c r="E102" i="28"/>
  <c r="E103" i="28" s="1"/>
  <c r="D10" i="27"/>
  <c r="C16" i="27"/>
  <c r="C43" i="27" s="1"/>
  <c r="D16" i="27"/>
  <c r="D43" i="27" s="1"/>
  <c r="E16" i="27"/>
  <c r="F16" i="27"/>
  <c r="F43" i="27" s="1"/>
  <c r="G16" i="27"/>
  <c r="G43" i="27" s="1"/>
  <c r="H16" i="27"/>
  <c r="H43" i="27" s="1"/>
  <c r="D21" i="27"/>
  <c r="E21" i="27"/>
  <c r="F21" i="27"/>
  <c r="F46" i="27" s="1"/>
  <c r="G21" i="27"/>
  <c r="G46" i="27" s="1"/>
  <c r="H21" i="27"/>
  <c r="C34" i="27"/>
  <c r="D34" i="27"/>
  <c r="E34" i="27"/>
  <c r="F34" i="27"/>
  <c r="G34" i="27"/>
  <c r="H34" i="27"/>
  <c r="C41" i="27"/>
  <c r="C46" i="27" s="1"/>
  <c r="D41" i="27"/>
  <c r="E41" i="27"/>
  <c r="F41" i="27"/>
  <c r="G41" i="27"/>
  <c r="H41" i="27"/>
  <c r="E43" i="27"/>
  <c r="E44" i="27" s="1"/>
  <c r="D46" i="27"/>
  <c r="E46" i="27"/>
  <c r="H46" i="27"/>
  <c r="C62" i="27"/>
  <c r="D62" i="27"/>
  <c r="E62" i="27"/>
  <c r="F62" i="27"/>
  <c r="G62" i="27"/>
  <c r="H62" i="27"/>
  <c r="E64" i="27"/>
  <c r="D82" i="27"/>
  <c r="D102" i="27" s="1"/>
  <c r="D103" i="27" s="1"/>
  <c r="E82" i="27"/>
  <c r="F82" i="27"/>
  <c r="G82" i="27"/>
  <c r="G102" i="27" s="1"/>
  <c r="G103" i="27" s="1"/>
  <c r="H82" i="27"/>
  <c r="H102" i="27" s="1"/>
  <c r="H103" i="27" s="1"/>
  <c r="C95" i="27"/>
  <c r="D95" i="27"/>
  <c r="E95" i="27"/>
  <c r="F95" i="27"/>
  <c r="G95" i="27"/>
  <c r="H95" i="27"/>
  <c r="C100" i="27"/>
  <c r="D100" i="27"/>
  <c r="E100" i="27"/>
  <c r="F100" i="27"/>
  <c r="G100" i="27"/>
  <c r="H100" i="27"/>
  <c r="C102" i="27"/>
  <c r="E102" i="27"/>
  <c r="E103" i="27" s="1"/>
  <c r="F102" i="27"/>
  <c r="F103" i="27" s="1"/>
  <c r="C103" i="27"/>
  <c r="C9" i="31" l="1"/>
  <c r="B10" i="31"/>
  <c r="G81" i="30"/>
  <c r="G101" i="30" s="1"/>
  <c r="G102" i="30" s="1"/>
  <c r="H67" i="30"/>
  <c r="H81" i="30" s="1"/>
  <c r="H101" i="30" s="1"/>
  <c r="H102" i="30" s="1"/>
  <c r="E64" i="28"/>
  <c r="E44" i="28"/>
  <c r="H44" i="27"/>
  <c r="H64" i="27"/>
  <c r="D44" i="27"/>
  <c r="D64" i="27"/>
  <c r="G64" i="27"/>
  <c r="G44" i="27"/>
  <c r="C64" i="27"/>
  <c r="C44" i="27"/>
  <c r="F64" i="27"/>
  <c r="F44" i="27"/>
  <c r="D8" i="26"/>
  <c r="D16" i="26" s="1"/>
  <c r="D43" i="26" s="1"/>
  <c r="D10" i="26"/>
  <c r="C16" i="26"/>
  <c r="C43" i="26" s="1"/>
  <c r="E16" i="26"/>
  <c r="E43" i="26" s="1"/>
  <c r="F16" i="26"/>
  <c r="F43" i="26" s="1"/>
  <c r="G16" i="26"/>
  <c r="G43" i="26" s="1"/>
  <c r="H16" i="26"/>
  <c r="C19" i="26"/>
  <c r="D20" i="26"/>
  <c r="E20" i="26"/>
  <c r="E21" i="26" s="1"/>
  <c r="F20" i="26"/>
  <c r="G20" i="26"/>
  <c r="H20" i="26"/>
  <c r="D21" i="26"/>
  <c r="F21" i="26"/>
  <c r="G21" i="26"/>
  <c r="H21" i="26"/>
  <c r="C29" i="26"/>
  <c r="E29" i="26"/>
  <c r="F29" i="26"/>
  <c r="G29" i="26"/>
  <c r="H29" i="26" s="1"/>
  <c r="C30" i="26"/>
  <c r="C34" i="26" s="1"/>
  <c r="C32" i="26"/>
  <c r="C33" i="26"/>
  <c r="D34" i="26"/>
  <c r="E34" i="26"/>
  <c r="F34" i="26"/>
  <c r="G34" i="26"/>
  <c r="H34" i="26"/>
  <c r="E38" i="26"/>
  <c r="F38" i="26"/>
  <c r="G38" i="26"/>
  <c r="H38" i="26"/>
  <c r="D40" i="26"/>
  <c r="E40" i="26" s="1"/>
  <c r="C41" i="26"/>
  <c r="H43" i="26"/>
  <c r="H44" i="26" s="1"/>
  <c r="C46" i="26"/>
  <c r="D49" i="26"/>
  <c r="C50" i="26"/>
  <c r="C62" i="26" s="1"/>
  <c r="D51" i="26"/>
  <c r="D62" i="26" s="1"/>
  <c r="C60" i="26"/>
  <c r="E60" i="26"/>
  <c r="F60" i="26"/>
  <c r="G60" i="26"/>
  <c r="G62" i="26" s="1"/>
  <c r="H60" i="26"/>
  <c r="H62" i="26" s="1"/>
  <c r="H64" i="26" s="1"/>
  <c r="E62" i="26"/>
  <c r="F62" i="26"/>
  <c r="C82" i="26"/>
  <c r="D82" i="26"/>
  <c r="E82" i="26"/>
  <c r="F82" i="26"/>
  <c r="F102" i="26" s="1"/>
  <c r="F103" i="26" s="1"/>
  <c r="G82" i="26"/>
  <c r="H82" i="26"/>
  <c r="C84" i="26"/>
  <c r="C95" i="26"/>
  <c r="C102" i="26" s="1"/>
  <c r="C103" i="26" s="1"/>
  <c r="D95" i="26"/>
  <c r="E95" i="26"/>
  <c r="F95" i="26"/>
  <c r="G95" i="26"/>
  <c r="G102" i="26" s="1"/>
  <c r="G103" i="26" s="1"/>
  <c r="H95" i="26"/>
  <c r="C100" i="26"/>
  <c r="D102" i="26"/>
  <c r="D103" i="26" s="1"/>
  <c r="E102" i="26"/>
  <c r="E103" i="26" s="1"/>
  <c r="H102" i="26"/>
  <c r="H103" i="26" s="1"/>
  <c r="C10" i="31" l="1"/>
  <c r="B11" i="31"/>
  <c r="C44" i="26"/>
  <c r="C64" i="26"/>
  <c r="F40" i="26"/>
  <c r="E39" i="26"/>
  <c r="E41" i="26" s="1"/>
  <c r="E46" i="26"/>
  <c r="G44" i="26"/>
  <c r="G64" i="26"/>
  <c r="F64" i="26"/>
  <c r="F44" i="26"/>
  <c r="D44" i="26"/>
  <c r="D64" i="26"/>
  <c r="E64" i="26"/>
  <c r="E44" i="26"/>
  <c r="D39" i="26"/>
  <c r="D41" i="26" s="1"/>
  <c r="D46" i="26" s="1"/>
  <c r="D99" i="26" s="1"/>
  <c r="E99" i="26" s="1"/>
  <c r="D98" i="26"/>
  <c r="B12" i="31" l="1"/>
  <c r="C11" i="31"/>
  <c r="D100" i="26"/>
  <c r="E98" i="26"/>
  <c r="F39" i="26"/>
  <c r="F41" i="26" s="1"/>
  <c r="F46" i="26" s="1"/>
  <c r="F99" i="26" s="1"/>
  <c r="G40" i="26"/>
  <c r="B13" i="31" l="1"/>
  <c r="C12" i="31"/>
  <c r="G99" i="26"/>
  <c r="E100" i="26"/>
  <c r="F98" i="26"/>
  <c r="G39" i="26"/>
  <c r="G41" i="26" s="1"/>
  <c r="G46" i="26" s="1"/>
  <c r="H40" i="26"/>
  <c r="H39" i="26" s="1"/>
  <c r="H41" i="26" s="1"/>
  <c r="H46" i="26" s="1"/>
  <c r="C13" i="31" l="1"/>
  <c r="B14" i="31"/>
  <c r="G98" i="26"/>
  <c r="F100" i="26"/>
  <c r="H99" i="26"/>
  <c r="C14" i="31" l="1"/>
  <c r="B15" i="31"/>
  <c r="G100" i="26"/>
  <c r="H98" i="26"/>
  <c r="H100" i="26" s="1"/>
  <c r="B17" i="31" l="1"/>
  <c r="B16" i="31"/>
  <c r="C16" i="31" s="1"/>
  <c r="C15" i="31"/>
  <c r="E4" i="25"/>
  <c r="F4" i="25"/>
  <c r="G4" i="25" s="1"/>
  <c r="H4" i="25" s="1"/>
  <c r="E8" i="25"/>
  <c r="E19" i="25" s="1"/>
  <c r="F8" i="25"/>
  <c r="C10" i="25"/>
  <c r="C16" i="25" s="1"/>
  <c r="C21" i="25" s="1"/>
  <c r="D10" i="25"/>
  <c r="D11" i="25"/>
  <c r="G11" i="25"/>
  <c r="H11" i="25"/>
  <c r="D15" i="25"/>
  <c r="E15" i="25" s="1"/>
  <c r="F15" i="25" s="1"/>
  <c r="G15" i="25" s="1"/>
  <c r="H15" i="25"/>
  <c r="C19" i="25"/>
  <c r="D19" i="25"/>
  <c r="D28" i="25"/>
  <c r="E29" i="25"/>
  <c r="E28" i="25" s="1"/>
  <c r="F29" i="25"/>
  <c r="G29" i="25"/>
  <c r="H29" i="25" s="1"/>
  <c r="D30" i="25"/>
  <c r="E30" i="25"/>
  <c r="F30" i="25"/>
  <c r="G30" i="25" s="1"/>
  <c r="H30" i="25" s="1"/>
  <c r="E32" i="25"/>
  <c r="F32" i="25"/>
  <c r="G32" i="25" s="1"/>
  <c r="H32" i="25" s="1"/>
  <c r="E33" i="25"/>
  <c r="F33" i="25"/>
  <c r="G33" i="25" s="1"/>
  <c r="H33" i="25" s="1"/>
  <c r="C34" i="25"/>
  <c r="D34" i="25"/>
  <c r="C38" i="25"/>
  <c r="D38" i="25"/>
  <c r="C39" i="25"/>
  <c r="C41" i="25" s="1"/>
  <c r="C46" i="25"/>
  <c r="E49" i="25"/>
  <c r="E51" i="25"/>
  <c r="E62" i="25" s="1"/>
  <c r="D60" i="25"/>
  <c r="D62" i="25" s="1"/>
  <c r="C62" i="25"/>
  <c r="F62" i="25"/>
  <c r="G62" i="25"/>
  <c r="H62" i="25"/>
  <c r="D80" i="25"/>
  <c r="C82" i="25"/>
  <c r="C102" i="25" s="1"/>
  <c r="D82" i="25"/>
  <c r="E82" i="25"/>
  <c r="F82" i="25"/>
  <c r="G82" i="25"/>
  <c r="H82" i="25"/>
  <c r="D84" i="25"/>
  <c r="D87" i="25"/>
  <c r="E87" i="25"/>
  <c r="F87" i="25"/>
  <c r="F95" i="25" s="1"/>
  <c r="G87" i="25"/>
  <c r="C95" i="25"/>
  <c r="D95" i="25"/>
  <c r="E95" i="25"/>
  <c r="E102" i="25" s="1"/>
  <c r="D97" i="25"/>
  <c r="E97" i="25" s="1"/>
  <c r="D98" i="25"/>
  <c r="D40" i="25" s="1"/>
  <c r="E40" i="25" s="1"/>
  <c r="F40" i="25" s="1"/>
  <c r="G40" i="25" s="1"/>
  <c r="H40" i="25" s="1"/>
  <c r="E98" i="25"/>
  <c r="F98" i="25"/>
  <c r="G98" i="25"/>
  <c r="H98" i="25" s="1"/>
  <c r="C100" i="25"/>
  <c r="D100" i="25"/>
  <c r="F102" i="25"/>
  <c r="C103" i="25"/>
  <c r="B19" i="31" l="1"/>
  <c r="C17" i="31"/>
  <c r="H87" i="25"/>
  <c r="H95" i="25" s="1"/>
  <c r="H102" i="25" s="1"/>
  <c r="G95" i="25"/>
  <c r="G102" i="25" s="1"/>
  <c r="E38" i="25"/>
  <c r="E34" i="25"/>
  <c r="F28" i="25"/>
  <c r="E10" i="25"/>
  <c r="D16" i="25"/>
  <c r="D20" i="25"/>
  <c r="E84" i="25"/>
  <c r="F84" i="25" s="1"/>
  <c r="G84" i="25" s="1"/>
  <c r="H84" i="25" s="1"/>
  <c r="G8" i="25"/>
  <c r="F19" i="25"/>
  <c r="E100" i="25"/>
  <c r="F97" i="25"/>
  <c r="D102" i="25"/>
  <c r="D103" i="25" s="1"/>
  <c r="C43" i="25"/>
  <c r="D39" i="25"/>
  <c r="C20" i="25"/>
  <c r="C16" i="24"/>
  <c r="D16" i="24"/>
  <c r="D43" i="24" s="1"/>
  <c r="E16" i="24"/>
  <c r="E43" i="24" s="1"/>
  <c r="F16" i="24"/>
  <c r="G16" i="24"/>
  <c r="H16" i="24"/>
  <c r="H43" i="24" s="1"/>
  <c r="D19" i="24"/>
  <c r="E19" i="24"/>
  <c r="F19" i="24"/>
  <c r="G19" i="24"/>
  <c r="H19" i="24"/>
  <c r="D20" i="24"/>
  <c r="E20" i="24"/>
  <c r="F20" i="24"/>
  <c r="G20" i="24"/>
  <c r="H20" i="24"/>
  <c r="C21" i="24"/>
  <c r="D21" i="24"/>
  <c r="D46" i="24" s="1"/>
  <c r="E21" i="24"/>
  <c r="E46" i="24" s="1"/>
  <c r="F21" i="24"/>
  <c r="G21" i="24"/>
  <c r="H21" i="24"/>
  <c r="H46" i="24" s="1"/>
  <c r="C34" i="24"/>
  <c r="D34" i="24"/>
  <c r="E34" i="24"/>
  <c r="F34" i="24"/>
  <c r="G34" i="24"/>
  <c r="H34" i="24"/>
  <c r="E38" i="24"/>
  <c r="F38" i="24"/>
  <c r="F41" i="24" s="1"/>
  <c r="F46" i="24" s="1"/>
  <c r="G38" i="24"/>
  <c r="G41" i="24" s="1"/>
  <c r="G46" i="24" s="1"/>
  <c r="H38" i="24"/>
  <c r="C41" i="24"/>
  <c r="D41" i="24"/>
  <c r="E41" i="24"/>
  <c r="H41" i="24"/>
  <c r="C43" i="24"/>
  <c r="C44" i="24" s="1"/>
  <c r="F43" i="24"/>
  <c r="F44" i="24" s="1"/>
  <c r="G43" i="24"/>
  <c r="G44" i="24" s="1"/>
  <c r="C46" i="24"/>
  <c r="C62" i="24"/>
  <c r="D62" i="24"/>
  <c r="E62" i="24"/>
  <c r="F62" i="24"/>
  <c r="G62" i="24"/>
  <c r="H62" i="24"/>
  <c r="C64" i="24"/>
  <c r="F64" i="24"/>
  <c r="G64" i="24"/>
  <c r="C82" i="24"/>
  <c r="D82" i="24"/>
  <c r="D102" i="24" s="1"/>
  <c r="D103" i="24" s="1"/>
  <c r="E82" i="24"/>
  <c r="E102" i="24" s="1"/>
  <c r="E103" i="24" s="1"/>
  <c r="F82" i="24"/>
  <c r="G82" i="24"/>
  <c r="H82" i="24"/>
  <c r="H102" i="24" s="1"/>
  <c r="H103" i="24" s="1"/>
  <c r="C95" i="24"/>
  <c r="D95" i="24"/>
  <c r="E95" i="24"/>
  <c r="F95" i="24"/>
  <c r="G95" i="24"/>
  <c r="H95" i="24"/>
  <c r="C100" i="24"/>
  <c r="D100" i="24"/>
  <c r="E100" i="24"/>
  <c r="F100" i="24"/>
  <c r="G100" i="24"/>
  <c r="H100" i="24"/>
  <c r="C102" i="24"/>
  <c r="C103" i="24" s="1"/>
  <c r="F102" i="24"/>
  <c r="F103" i="24" s="1"/>
  <c r="G102" i="24"/>
  <c r="G103" i="24" s="1"/>
  <c r="B27" i="31" l="1"/>
  <c r="C19" i="31"/>
  <c r="B20" i="31"/>
  <c r="C44" i="25"/>
  <c r="C64" i="25"/>
  <c r="F34" i="25"/>
  <c r="G28" i="25"/>
  <c r="F38" i="25"/>
  <c r="H8" i="25"/>
  <c r="G19" i="25"/>
  <c r="D43" i="25"/>
  <c r="D21" i="25"/>
  <c r="D41" i="25"/>
  <c r="E39" i="25"/>
  <c r="F39" i="25" s="1"/>
  <c r="G39" i="25" s="1"/>
  <c r="H39" i="25" s="1"/>
  <c r="F100" i="25"/>
  <c r="G97" i="25"/>
  <c r="F10" i="25"/>
  <c r="E16" i="25"/>
  <c r="E20" i="25"/>
  <c r="E64" i="24"/>
  <c r="E44" i="24"/>
  <c r="H64" i="24"/>
  <c r="H44" i="24"/>
  <c r="D64" i="24"/>
  <c r="D44" i="24"/>
  <c r="B2" i="23"/>
  <c r="B3" i="23" s="1"/>
  <c r="C3" i="23" s="1"/>
  <c r="Z2" i="23"/>
  <c r="B4" i="23"/>
  <c r="C4" i="23"/>
  <c r="B5" i="23"/>
  <c r="C5" i="23" s="1"/>
  <c r="G5" i="23"/>
  <c r="U5" i="23"/>
  <c r="V5" i="23"/>
  <c r="W5" i="23"/>
  <c r="B6" i="23"/>
  <c r="C6" i="23"/>
  <c r="G6" i="23"/>
  <c r="U6" i="23"/>
  <c r="V6" i="23"/>
  <c r="W6" i="23"/>
  <c r="X6" i="23"/>
  <c r="Y6" i="23"/>
  <c r="Z6" i="23"/>
  <c r="AA6" i="23"/>
  <c r="AB6" i="23" s="1"/>
  <c r="AC6" i="23"/>
  <c r="B7" i="23"/>
  <c r="B11" i="23" s="1"/>
  <c r="C11" i="23" s="1"/>
  <c r="G7" i="23"/>
  <c r="U7" i="23"/>
  <c r="V7" i="23"/>
  <c r="W7" i="23"/>
  <c r="X7" i="23"/>
  <c r="Y7" i="23" s="1"/>
  <c r="Z7" i="23"/>
  <c r="AA8" i="23" s="1"/>
  <c r="AC7" i="23"/>
  <c r="G8" i="23"/>
  <c r="U8" i="23"/>
  <c r="V8" i="23"/>
  <c r="W8" i="23"/>
  <c r="X8" i="23"/>
  <c r="Z8" i="23"/>
  <c r="AC8" i="23"/>
  <c r="G9" i="23"/>
  <c r="U9" i="23"/>
  <c r="V9" i="23"/>
  <c r="W9" i="23"/>
  <c r="X9" i="23"/>
  <c r="Z9" i="23"/>
  <c r="AA10" i="23" s="1"/>
  <c r="AC9" i="23"/>
  <c r="G10" i="23"/>
  <c r="U10" i="23"/>
  <c r="V10" i="23"/>
  <c r="W10" i="23"/>
  <c r="X10" i="23"/>
  <c r="Y10" i="23"/>
  <c r="Z10" i="23"/>
  <c r="AC10" i="23"/>
  <c r="U11" i="23"/>
  <c r="V11" i="23"/>
  <c r="W11" i="23"/>
  <c r="X11" i="23"/>
  <c r="Y11" i="23"/>
  <c r="Z11" i="23"/>
  <c r="AA11" i="23"/>
  <c r="AC11" i="23"/>
  <c r="B12" i="23"/>
  <c r="C12" i="23" s="1"/>
  <c r="C16" i="22"/>
  <c r="D16" i="22"/>
  <c r="D43" i="22" s="1"/>
  <c r="E16" i="22"/>
  <c r="E43" i="22" s="1"/>
  <c r="F16" i="22"/>
  <c r="G16" i="22"/>
  <c r="H16" i="22"/>
  <c r="H43" i="22" s="1"/>
  <c r="C34" i="22"/>
  <c r="D34" i="22"/>
  <c r="E34" i="22"/>
  <c r="F34" i="22"/>
  <c r="G34" i="22"/>
  <c r="H34" i="22"/>
  <c r="C41" i="22"/>
  <c r="D41" i="22"/>
  <c r="D46" i="22" s="1"/>
  <c r="E41" i="22"/>
  <c r="E46" i="22" s="1"/>
  <c r="F41" i="22"/>
  <c r="G41" i="22"/>
  <c r="H41" i="22"/>
  <c r="H46" i="22" s="1"/>
  <c r="C43" i="22"/>
  <c r="C44" i="22" s="1"/>
  <c r="F43" i="22"/>
  <c r="F44" i="22" s="1"/>
  <c r="G43" i="22"/>
  <c r="G44" i="22" s="1"/>
  <c r="C46" i="22"/>
  <c r="F46" i="22"/>
  <c r="G46" i="22"/>
  <c r="C62" i="22"/>
  <c r="D62" i="22"/>
  <c r="E62" i="22"/>
  <c r="F62" i="22"/>
  <c r="G62" i="22"/>
  <c r="H62" i="22"/>
  <c r="C64" i="22"/>
  <c r="F64" i="22"/>
  <c r="G64" i="22"/>
  <c r="C82" i="22"/>
  <c r="D82" i="22"/>
  <c r="D102" i="22" s="1"/>
  <c r="D103" i="22" s="1"/>
  <c r="E82" i="22"/>
  <c r="E102" i="22" s="1"/>
  <c r="E103" i="22" s="1"/>
  <c r="F82" i="22"/>
  <c r="G82" i="22"/>
  <c r="H82" i="22"/>
  <c r="H102" i="22" s="1"/>
  <c r="H103" i="22" s="1"/>
  <c r="C95" i="22"/>
  <c r="D95" i="22"/>
  <c r="E95" i="22"/>
  <c r="F95" i="22"/>
  <c r="G95" i="22"/>
  <c r="H95" i="22"/>
  <c r="C100" i="22"/>
  <c r="D100" i="22"/>
  <c r="E100" i="22"/>
  <c r="F100" i="22"/>
  <c r="G100" i="22"/>
  <c r="H100" i="22"/>
  <c r="C102" i="22"/>
  <c r="C103" i="22" s="1"/>
  <c r="F102" i="22"/>
  <c r="F103" i="22" s="1"/>
  <c r="G102" i="22"/>
  <c r="G103" i="22" s="1"/>
  <c r="Y8" i="23" l="1"/>
  <c r="AB8" i="23" s="1"/>
  <c r="AB10" i="23"/>
  <c r="AB11" i="23"/>
  <c r="Y9" i="23"/>
  <c r="AB9" i="23" s="1"/>
  <c r="C2" i="23"/>
  <c r="AA9" i="23"/>
  <c r="AA7" i="23"/>
  <c r="AB7" i="23" s="1"/>
  <c r="C7" i="23"/>
  <c r="C20" i="31"/>
  <c r="B21" i="31"/>
  <c r="C27" i="31"/>
  <c r="B28" i="31"/>
  <c r="E21" i="25"/>
  <c r="E46" i="25" s="1"/>
  <c r="E43" i="25"/>
  <c r="E103" i="25"/>
  <c r="D44" i="25"/>
  <c r="D64" i="25"/>
  <c r="F41" i="25"/>
  <c r="G10" i="25"/>
  <c r="F16" i="25"/>
  <c r="F20" i="25"/>
  <c r="H28" i="25"/>
  <c r="G38" i="25"/>
  <c r="G41" i="25" s="1"/>
  <c r="G34" i="25"/>
  <c r="H97" i="25"/>
  <c r="H100" i="25" s="1"/>
  <c r="G100" i="25"/>
  <c r="E41" i="25"/>
  <c r="H19" i="25"/>
  <c r="D46" i="25"/>
  <c r="D99" i="25" s="1"/>
  <c r="E99" i="25" s="1"/>
  <c r="B13" i="23"/>
  <c r="E64" i="22"/>
  <c r="E44" i="22"/>
  <c r="H64" i="22"/>
  <c r="H44" i="22"/>
  <c r="D64" i="22"/>
  <c r="D44" i="22"/>
  <c r="C16" i="21"/>
  <c r="D16" i="21"/>
  <c r="E16" i="21"/>
  <c r="F16" i="21"/>
  <c r="G16" i="21"/>
  <c r="H16" i="21"/>
  <c r="C21" i="21"/>
  <c r="D21" i="21"/>
  <c r="E21" i="21"/>
  <c r="E46" i="21" s="1"/>
  <c r="F21" i="21"/>
  <c r="G21" i="21"/>
  <c r="H21" i="21"/>
  <c r="C34" i="21"/>
  <c r="D34" i="21"/>
  <c r="E34" i="21"/>
  <c r="F34" i="21"/>
  <c r="G34" i="21"/>
  <c r="H34" i="21"/>
  <c r="C41" i="21"/>
  <c r="D41" i="21"/>
  <c r="E41" i="21"/>
  <c r="F41" i="21"/>
  <c r="G41" i="21"/>
  <c r="H41" i="21"/>
  <c r="C43" i="21"/>
  <c r="C44" i="21" s="1"/>
  <c r="D43" i="21"/>
  <c r="E43" i="21"/>
  <c r="F43" i="21"/>
  <c r="G43" i="21"/>
  <c r="G44" i="21" s="1"/>
  <c r="H43" i="21"/>
  <c r="D44" i="21"/>
  <c r="E44" i="21"/>
  <c r="F44" i="21"/>
  <c r="H44" i="21"/>
  <c r="C46" i="21"/>
  <c r="D46" i="21"/>
  <c r="F46" i="21"/>
  <c r="G46" i="21"/>
  <c r="H46" i="21"/>
  <c r="C62" i="21"/>
  <c r="D62" i="21"/>
  <c r="E62" i="21"/>
  <c r="E64" i="21" s="1"/>
  <c r="F62" i="21"/>
  <c r="G62" i="21"/>
  <c r="H62" i="21"/>
  <c r="H64" i="21" s="1"/>
  <c r="C64" i="21"/>
  <c r="D64" i="21"/>
  <c r="F64" i="21"/>
  <c r="G64" i="21"/>
  <c r="C82" i="21"/>
  <c r="D82" i="21"/>
  <c r="E82" i="21"/>
  <c r="E102" i="21" s="1"/>
  <c r="E103" i="21" s="1"/>
  <c r="F82" i="21"/>
  <c r="G82" i="21"/>
  <c r="H82" i="21"/>
  <c r="C95" i="21"/>
  <c r="C102" i="21" s="1"/>
  <c r="C103" i="21" s="1"/>
  <c r="D95" i="21"/>
  <c r="F95" i="21"/>
  <c r="G95" i="21"/>
  <c r="H95" i="21"/>
  <c r="C100" i="21"/>
  <c r="D100" i="21"/>
  <c r="E100" i="21"/>
  <c r="F100" i="21"/>
  <c r="G100" i="21"/>
  <c r="H100" i="21"/>
  <c r="D102" i="21"/>
  <c r="D103" i="21" s="1"/>
  <c r="F102" i="21"/>
  <c r="G102" i="21"/>
  <c r="G103" i="21" s="1"/>
  <c r="H102" i="21"/>
  <c r="H103" i="21" s="1"/>
  <c r="F103" i="21"/>
  <c r="C16" i="20"/>
  <c r="C43" i="20" s="1"/>
  <c r="D16" i="20"/>
  <c r="E16" i="20"/>
  <c r="F16" i="20"/>
  <c r="F43" i="20" s="1"/>
  <c r="G16" i="20"/>
  <c r="G43" i="20" s="1"/>
  <c r="H16" i="20"/>
  <c r="C34" i="20"/>
  <c r="D34" i="20"/>
  <c r="E34" i="20"/>
  <c r="F34" i="20"/>
  <c r="G34" i="20"/>
  <c r="H34" i="20"/>
  <c r="H43" i="20" s="1"/>
  <c r="C41" i="20"/>
  <c r="C46" i="20" s="1"/>
  <c r="D41" i="20"/>
  <c r="E41" i="20"/>
  <c r="F41" i="20"/>
  <c r="F46" i="20" s="1"/>
  <c r="G41" i="20"/>
  <c r="G46" i="20" s="1"/>
  <c r="H41" i="20"/>
  <c r="D43" i="20"/>
  <c r="D44" i="20" s="1"/>
  <c r="E43" i="20"/>
  <c r="E44" i="20" s="1"/>
  <c r="D46" i="20"/>
  <c r="E46" i="20"/>
  <c r="H46" i="20"/>
  <c r="C62" i="20"/>
  <c r="D62" i="20"/>
  <c r="E62" i="20"/>
  <c r="F62" i="20"/>
  <c r="G62" i="20"/>
  <c r="H62" i="20"/>
  <c r="D64" i="20"/>
  <c r="E64" i="20"/>
  <c r="C82" i="20"/>
  <c r="D82" i="20"/>
  <c r="E82" i="20"/>
  <c r="F82" i="20"/>
  <c r="F102" i="20" s="1"/>
  <c r="F103" i="20" s="1"/>
  <c r="G82" i="20"/>
  <c r="H82" i="20"/>
  <c r="C95" i="20"/>
  <c r="D95" i="20"/>
  <c r="E95" i="20"/>
  <c r="F95" i="20"/>
  <c r="G95" i="20"/>
  <c r="H95" i="20"/>
  <c r="C100" i="20"/>
  <c r="D100" i="20"/>
  <c r="E100" i="20"/>
  <c r="F100" i="20"/>
  <c r="G100" i="20"/>
  <c r="H100" i="20"/>
  <c r="C102" i="20"/>
  <c r="D102" i="20"/>
  <c r="D103" i="20" s="1"/>
  <c r="E102" i="20"/>
  <c r="G102" i="20"/>
  <c r="H102" i="20"/>
  <c r="H103" i="20" s="1"/>
  <c r="C103" i="20"/>
  <c r="E103" i="20"/>
  <c r="G103" i="20"/>
  <c r="B26" i="31" l="1"/>
  <c r="C26" i="31" s="1"/>
  <c r="C21" i="31"/>
  <c r="B29" i="31"/>
  <c r="C29" i="31" s="1"/>
  <c r="C28" i="31"/>
  <c r="H38" i="25"/>
  <c r="H41" i="25" s="1"/>
  <c r="H34" i="25"/>
  <c r="E64" i="25"/>
  <c r="E44" i="25"/>
  <c r="F21" i="25"/>
  <c r="F46" i="25" s="1"/>
  <c r="F99" i="25" s="1"/>
  <c r="F43" i="25"/>
  <c r="F103" i="25"/>
  <c r="G20" i="25"/>
  <c r="H10" i="25"/>
  <c r="G16" i="25"/>
  <c r="C13" i="23"/>
  <c r="B14" i="23"/>
  <c r="C14" i="23" s="1"/>
  <c r="G44" i="20"/>
  <c r="G64" i="20"/>
  <c r="C44" i="20"/>
  <c r="C64" i="20"/>
  <c r="H44" i="20"/>
  <c r="H64" i="20"/>
  <c r="F64" i="20"/>
  <c r="F44" i="20"/>
  <c r="C16" i="19"/>
  <c r="D16" i="19"/>
  <c r="E16" i="19"/>
  <c r="F16" i="19"/>
  <c r="G16" i="19"/>
  <c r="H16" i="19"/>
  <c r="C21" i="19"/>
  <c r="C46" i="19" s="1"/>
  <c r="D21" i="19"/>
  <c r="E21" i="19"/>
  <c r="F21" i="19"/>
  <c r="F46" i="19" s="1"/>
  <c r="G21" i="19"/>
  <c r="G46" i="19" s="1"/>
  <c r="H21" i="19"/>
  <c r="C34" i="19"/>
  <c r="D34" i="19"/>
  <c r="E34" i="19"/>
  <c r="F34" i="19"/>
  <c r="G34" i="19"/>
  <c r="H34" i="19"/>
  <c r="C41" i="19"/>
  <c r="D41" i="19"/>
  <c r="E41" i="19"/>
  <c r="F41" i="19"/>
  <c r="G41" i="19"/>
  <c r="H41" i="19"/>
  <c r="C43" i="19"/>
  <c r="D43" i="19"/>
  <c r="D44" i="19" s="1"/>
  <c r="E43" i="19"/>
  <c r="E44" i="19" s="1"/>
  <c r="F43" i="19"/>
  <c r="G43" i="19"/>
  <c r="H43" i="19"/>
  <c r="H44" i="19" s="1"/>
  <c r="C44" i="19"/>
  <c r="F44" i="19"/>
  <c r="G44" i="19"/>
  <c r="D46" i="19"/>
  <c r="E46" i="19"/>
  <c r="H46" i="19"/>
  <c r="C62" i="19"/>
  <c r="C64" i="19" s="1"/>
  <c r="D62" i="19"/>
  <c r="E62" i="19"/>
  <c r="F62" i="19"/>
  <c r="F64" i="19" s="1"/>
  <c r="G62" i="19"/>
  <c r="G64" i="19" s="1"/>
  <c r="H62" i="19"/>
  <c r="D64" i="19"/>
  <c r="E64" i="19"/>
  <c r="H64" i="19"/>
  <c r="C82" i="19"/>
  <c r="C102" i="19" s="1"/>
  <c r="C103" i="19" s="1"/>
  <c r="D82" i="19"/>
  <c r="E82" i="19"/>
  <c r="F82" i="19"/>
  <c r="F102" i="19" s="1"/>
  <c r="F103" i="19" s="1"/>
  <c r="G82" i="19"/>
  <c r="G102" i="19" s="1"/>
  <c r="G103" i="19" s="1"/>
  <c r="H82" i="19"/>
  <c r="C95" i="19"/>
  <c r="D95" i="19"/>
  <c r="E95" i="19"/>
  <c r="F95" i="19"/>
  <c r="G95" i="19"/>
  <c r="H95" i="19"/>
  <c r="C100" i="19"/>
  <c r="D100" i="19"/>
  <c r="E100" i="19"/>
  <c r="F100" i="19"/>
  <c r="G100" i="19"/>
  <c r="H100" i="19"/>
  <c r="D102" i="19"/>
  <c r="D103" i="19" s="1"/>
  <c r="E102" i="19"/>
  <c r="E103" i="19" s="1"/>
  <c r="H102" i="19"/>
  <c r="H103" i="19" s="1"/>
  <c r="C16" i="18"/>
  <c r="D16" i="18"/>
  <c r="D21" i="18" s="1"/>
  <c r="D46" i="18" s="1"/>
  <c r="E16" i="18"/>
  <c r="E21" i="18" s="1"/>
  <c r="E46" i="18" s="1"/>
  <c r="F16" i="18"/>
  <c r="F20" i="18" s="1"/>
  <c r="G16" i="18"/>
  <c r="H16" i="18"/>
  <c r="H21" i="18" s="1"/>
  <c r="H46" i="18" s="1"/>
  <c r="D20" i="18"/>
  <c r="E20" i="18"/>
  <c r="G20" i="18"/>
  <c r="H20" i="18"/>
  <c r="C21" i="18"/>
  <c r="G21" i="18"/>
  <c r="G46" i="18" s="1"/>
  <c r="C34" i="18"/>
  <c r="C43" i="18" s="1"/>
  <c r="D34" i="18"/>
  <c r="D43" i="18" s="1"/>
  <c r="E34" i="18"/>
  <c r="E43" i="18" s="1"/>
  <c r="F34" i="18"/>
  <c r="G34" i="18"/>
  <c r="G43" i="18" s="1"/>
  <c r="H34" i="18"/>
  <c r="H43" i="18" s="1"/>
  <c r="C39" i="18"/>
  <c r="C41" i="18" s="1"/>
  <c r="D39" i="18"/>
  <c r="E39" i="18"/>
  <c r="E41" i="18" s="1"/>
  <c r="D41" i="18"/>
  <c r="F41" i="18"/>
  <c r="G41" i="18"/>
  <c r="H41" i="18"/>
  <c r="F43" i="18"/>
  <c r="F44" i="18" s="1"/>
  <c r="C62" i="18"/>
  <c r="D62" i="18"/>
  <c r="E62" i="18"/>
  <c r="F62" i="18"/>
  <c r="G62" i="18"/>
  <c r="H62" i="18"/>
  <c r="F64" i="18"/>
  <c r="C82" i="18"/>
  <c r="D82" i="18"/>
  <c r="E82" i="18"/>
  <c r="F82" i="18"/>
  <c r="G82" i="18"/>
  <c r="H82" i="18"/>
  <c r="C95" i="18"/>
  <c r="D95" i="18"/>
  <c r="E95" i="18"/>
  <c r="E102" i="18" s="1"/>
  <c r="E103" i="18" s="1"/>
  <c r="F95" i="18"/>
  <c r="F97" i="18" s="1"/>
  <c r="F100" i="18" s="1"/>
  <c r="G95" i="18"/>
  <c r="H95" i="18"/>
  <c r="D97" i="18"/>
  <c r="D100" i="18" s="1"/>
  <c r="E97" i="18"/>
  <c r="E100" i="18" s="1"/>
  <c r="G97" i="18"/>
  <c r="G100" i="18" s="1"/>
  <c r="H97" i="18"/>
  <c r="H100" i="18" s="1"/>
  <c r="C100" i="18"/>
  <c r="C102" i="18"/>
  <c r="C103" i="18" s="1"/>
  <c r="D102" i="18"/>
  <c r="D103" i="18" s="1"/>
  <c r="G102" i="18"/>
  <c r="G103" i="18" s="1"/>
  <c r="H102" i="18"/>
  <c r="H103" i="18" s="1"/>
  <c r="G21" i="25" l="1"/>
  <c r="G46" i="25" s="1"/>
  <c r="G99" i="25" s="1"/>
  <c r="G43" i="25"/>
  <c r="G103" i="25"/>
  <c r="F44" i="25"/>
  <c r="F64" i="25"/>
  <c r="H20" i="25"/>
  <c r="H16" i="25"/>
  <c r="E44" i="18"/>
  <c r="E64" i="18"/>
  <c r="C46" i="18"/>
  <c r="H64" i="18"/>
  <c r="H44" i="18"/>
  <c r="D64" i="18"/>
  <c r="D99" i="18" s="1"/>
  <c r="E99" i="18" s="1"/>
  <c r="F99" i="18" s="1"/>
  <c r="G99" i="18" s="1"/>
  <c r="H99" i="18" s="1"/>
  <c r="D44" i="18"/>
  <c r="G64" i="18"/>
  <c r="G44" i="18"/>
  <c r="C64" i="18"/>
  <c r="C44" i="18"/>
  <c r="F21" i="18"/>
  <c r="F46" i="18" s="1"/>
  <c r="F102" i="18"/>
  <c r="F103" i="18" s="1"/>
  <c r="C16" i="17"/>
  <c r="D16" i="17"/>
  <c r="D43" i="17" s="1"/>
  <c r="E16" i="17"/>
  <c r="E43" i="17" s="1"/>
  <c r="F16" i="17"/>
  <c r="G16" i="17"/>
  <c r="H16" i="17"/>
  <c r="H43" i="17" s="1"/>
  <c r="C34" i="17"/>
  <c r="D34" i="17"/>
  <c r="E34" i="17"/>
  <c r="F34" i="17"/>
  <c r="G34" i="17"/>
  <c r="H34" i="17"/>
  <c r="C41" i="17"/>
  <c r="D41" i="17"/>
  <c r="D46" i="17" s="1"/>
  <c r="E41" i="17"/>
  <c r="E46" i="17" s="1"/>
  <c r="F41" i="17"/>
  <c r="G41" i="17"/>
  <c r="H41" i="17"/>
  <c r="H46" i="17" s="1"/>
  <c r="C43" i="17"/>
  <c r="C44" i="17" s="1"/>
  <c r="F43" i="17"/>
  <c r="F44" i="17" s="1"/>
  <c r="G43" i="17"/>
  <c r="G44" i="17" s="1"/>
  <c r="C46" i="17"/>
  <c r="F46" i="17"/>
  <c r="G46" i="17"/>
  <c r="C62" i="17"/>
  <c r="D62" i="17"/>
  <c r="E62" i="17"/>
  <c r="F62" i="17"/>
  <c r="G62" i="17"/>
  <c r="H62" i="17"/>
  <c r="C64" i="17"/>
  <c r="F64" i="17"/>
  <c r="G64" i="17"/>
  <c r="C82" i="17"/>
  <c r="D82" i="17"/>
  <c r="D102" i="17" s="1"/>
  <c r="D103" i="17" s="1"/>
  <c r="E82" i="17"/>
  <c r="E102" i="17" s="1"/>
  <c r="E103" i="17" s="1"/>
  <c r="F82" i="17"/>
  <c r="G82" i="17"/>
  <c r="H82" i="17"/>
  <c r="H102" i="17" s="1"/>
  <c r="H103" i="17" s="1"/>
  <c r="C95" i="17"/>
  <c r="D95" i="17"/>
  <c r="E95" i="17"/>
  <c r="F95" i="17"/>
  <c r="G95" i="17"/>
  <c r="H95" i="17"/>
  <c r="C100" i="17"/>
  <c r="D100" i="17"/>
  <c r="E100" i="17"/>
  <c r="F100" i="17"/>
  <c r="G100" i="17"/>
  <c r="H100" i="17"/>
  <c r="C102" i="17"/>
  <c r="C103" i="17" s="1"/>
  <c r="F102" i="17"/>
  <c r="F103" i="17" s="1"/>
  <c r="G102" i="17"/>
  <c r="G103" i="17" s="1"/>
  <c r="G44" i="25" l="1"/>
  <c r="G64" i="25"/>
  <c r="H43" i="25"/>
  <c r="H21" i="25"/>
  <c r="H46" i="25" s="1"/>
  <c r="H99" i="25" s="1"/>
  <c r="H103" i="25"/>
  <c r="E64" i="17"/>
  <c r="E44" i="17"/>
  <c r="H64" i="17"/>
  <c r="H44" i="17"/>
  <c r="D64" i="17"/>
  <c r="D44" i="17"/>
  <c r="C16" i="16"/>
  <c r="D16" i="16"/>
  <c r="D43" i="16" s="1"/>
  <c r="E16" i="16"/>
  <c r="E43" i="16" s="1"/>
  <c r="F16" i="16"/>
  <c r="G16" i="16"/>
  <c r="H16" i="16"/>
  <c r="H43" i="16" s="1"/>
  <c r="C34" i="16"/>
  <c r="D34" i="16"/>
  <c r="E34" i="16"/>
  <c r="F34" i="16"/>
  <c r="G34" i="16"/>
  <c r="H34" i="16"/>
  <c r="C41" i="16"/>
  <c r="D41" i="16"/>
  <c r="D46" i="16" s="1"/>
  <c r="E41" i="16"/>
  <c r="E46" i="16" s="1"/>
  <c r="F41" i="16"/>
  <c r="G41" i="16"/>
  <c r="H41" i="16"/>
  <c r="H46" i="16" s="1"/>
  <c r="C43" i="16"/>
  <c r="C44" i="16" s="1"/>
  <c r="F43" i="16"/>
  <c r="F44" i="16" s="1"/>
  <c r="G43" i="16"/>
  <c r="G44" i="16" s="1"/>
  <c r="C46" i="16"/>
  <c r="F46" i="16"/>
  <c r="G46" i="16"/>
  <c r="C62" i="16"/>
  <c r="D62" i="16"/>
  <c r="E62" i="16"/>
  <c r="F62" i="16"/>
  <c r="G62" i="16"/>
  <c r="H62" i="16"/>
  <c r="C64" i="16"/>
  <c r="F64" i="16"/>
  <c r="G64" i="16"/>
  <c r="C82" i="16"/>
  <c r="D82" i="16"/>
  <c r="D102" i="16" s="1"/>
  <c r="D103" i="16" s="1"/>
  <c r="E82" i="16"/>
  <c r="E102" i="16" s="1"/>
  <c r="E103" i="16" s="1"/>
  <c r="F82" i="16"/>
  <c r="G82" i="16"/>
  <c r="H82" i="16"/>
  <c r="H102" i="16" s="1"/>
  <c r="H103" i="16" s="1"/>
  <c r="C95" i="16"/>
  <c r="D95" i="16"/>
  <c r="E95" i="16"/>
  <c r="F95" i="16"/>
  <c r="G95" i="16"/>
  <c r="H95" i="16"/>
  <c r="C100" i="16"/>
  <c r="D100" i="16"/>
  <c r="E100" i="16"/>
  <c r="F100" i="16"/>
  <c r="G100" i="16"/>
  <c r="H100" i="16"/>
  <c r="C102" i="16"/>
  <c r="C103" i="16" s="1"/>
  <c r="F102" i="16"/>
  <c r="F103" i="16" s="1"/>
  <c r="G102" i="16"/>
  <c r="G103" i="16" s="1"/>
  <c r="H44" i="25" l="1"/>
  <c r="H64" i="25"/>
  <c r="E64" i="16"/>
  <c r="E44" i="16"/>
  <c r="H64" i="16"/>
  <c r="H44" i="16"/>
  <c r="D64" i="16"/>
  <c r="D44" i="16"/>
  <c r="C16" i="15"/>
  <c r="D16" i="15"/>
  <c r="D43" i="15" s="1"/>
  <c r="E16" i="15"/>
  <c r="E43" i="15" s="1"/>
  <c r="F16" i="15"/>
  <c r="G16" i="15"/>
  <c r="H16" i="15"/>
  <c r="H43" i="15" s="1"/>
  <c r="C34" i="15"/>
  <c r="D34" i="15"/>
  <c r="E34" i="15"/>
  <c r="F34" i="15"/>
  <c r="G34" i="15"/>
  <c r="H34" i="15"/>
  <c r="C41" i="15"/>
  <c r="D41" i="15"/>
  <c r="D46" i="15" s="1"/>
  <c r="E41" i="15"/>
  <c r="E46" i="15" s="1"/>
  <c r="F41" i="15"/>
  <c r="G41" i="15"/>
  <c r="H41" i="15"/>
  <c r="H46" i="15" s="1"/>
  <c r="C43" i="15"/>
  <c r="C44" i="15" s="1"/>
  <c r="F43" i="15"/>
  <c r="F44" i="15" s="1"/>
  <c r="G43" i="15"/>
  <c r="G44" i="15" s="1"/>
  <c r="C46" i="15"/>
  <c r="F46" i="15"/>
  <c r="G46" i="15"/>
  <c r="C62" i="15"/>
  <c r="D62" i="15"/>
  <c r="E62" i="15"/>
  <c r="F62" i="15"/>
  <c r="G62" i="15"/>
  <c r="H62" i="15"/>
  <c r="C64" i="15"/>
  <c r="F64" i="15"/>
  <c r="G64" i="15"/>
  <c r="C82" i="15"/>
  <c r="D82" i="15"/>
  <c r="D102" i="15" s="1"/>
  <c r="D103" i="15" s="1"/>
  <c r="E82" i="15"/>
  <c r="E102" i="15" s="1"/>
  <c r="E103" i="15" s="1"/>
  <c r="F82" i="15"/>
  <c r="G82" i="15"/>
  <c r="H82" i="15"/>
  <c r="H102" i="15" s="1"/>
  <c r="H103" i="15" s="1"/>
  <c r="C95" i="15"/>
  <c r="D95" i="15"/>
  <c r="E95" i="15"/>
  <c r="F95" i="15"/>
  <c r="G95" i="15"/>
  <c r="H95" i="15"/>
  <c r="C100" i="15"/>
  <c r="D100" i="15"/>
  <c r="E100" i="15"/>
  <c r="F100" i="15"/>
  <c r="G100" i="15"/>
  <c r="H100" i="15"/>
  <c r="C102" i="15"/>
  <c r="C103" i="15" s="1"/>
  <c r="F102" i="15"/>
  <c r="F103" i="15" s="1"/>
  <c r="G102" i="15"/>
  <c r="G103" i="15" s="1"/>
  <c r="E64" i="15" l="1"/>
  <c r="E44" i="15"/>
  <c r="H64" i="15"/>
  <c r="H44" i="15"/>
  <c r="D64" i="15"/>
  <c r="D44" i="15"/>
  <c r="C16" i="14"/>
  <c r="D16" i="14"/>
  <c r="E16" i="14"/>
  <c r="E43" i="14" s="1"/>
  <c r="F16" i="14"/>
  <c r="G16" i="14"/>
  <c r="H16" i="14"/>
  <c r="D20" i="14"/>
  <c r="D21" i="14" s="1"/>
  <c r="D46" i="14" s="1"/>
  <c r="C21" i="14"/>
  <c r="E21" i="14"/>
  <c r="E46" i="14" s="1"/>
  <c r="F21" i="14"/>
  <c r="F46" i="14" s="1"/>
  <c r="G21" i="14"/>
  <c r="H21" i="14"/>
  <c r="D28" i="14"/>
  <c r="E28" i="14"/>
  <c r="E34" i="14" s="1"/>
  <c r="F28" i="14"/>
  <c r="G28" i="14"/>
  <c r="H28" i="14"/>
  <c r="F29" i="14"/>
  <c r="G29" i="14"/>
  <c r="H29" i="14"/>
  <c r="C34" i="14"/>
  <c r="D34" i="14"/>
  <c r="F34" i="14"/>
  <c r="G34" i="14"/>
  <c r="H34" i="14"/>
  <c r="C41" i="14"/>
  <c r="D41" i="14"/>
  <c r="E41" i="14"/>
  <c r="F41" i="14"/>
  <c r="G41" i="14"/>
  <c r="H41" i="14"/>
  <c r="C43" i="14"/>
  <c r="C44" i="14" s="1"/>
  <c r="D43" i="14"/>
  <c r="D44" i="14" s="1"/>
  <c r="F43" i="14"/>
  <c r="G43" i="14"/>
  <c r="G44" i="14" s="1"/>
  <c r="H43" i="14"/>
  <c r="H44" i="14" s="1"/>
  <c r="F44" i="14"/>
  <c r="C46" i="14"/>
  <c r="G46" i="14"/>
  <c r="H46" i="14"/>
  <c r="C62" i="14"/>
  <c r="D62" i="14"/>
  <c r="E62" i="14"/>
  <c r="F62" i="14"/>
  <c r="F64" i="14" s="1"/>
  <c r="G62" i="14"/>
  <c r="H62" i="14"/>
  <c r="C64" i="14"/>
  <c r="D64" i="14"/>
  <c r="G64" i="14"/>
  <c r="H64" i="14"/>
  <c r="D68" i="14"/>
  <c r="E68" i="14"/>
  <c r="F68" i="14"/>
  <c r="C82" i="14"/>
  <c r="C102" i="14" s="1"/>
  <c r="C103" i="14" s="1"/>
  <c r="D82" i="14"/>
  <c r="E82" i="14"/>
  <c r="F82" i="14"/>
  <c r="G82" i="14"/>
  <c r="G102" i="14" s="1"/>
  <c r="G103" i="14" s="1"/>
  <c r="H82" i="14"/>
  <c r="C95" i="14"/>
  <c r="D95" i="14"/>
  <c r="D102" i="14" s="1"/>
  <c r="D103" i="14" s="1"/>
  <c r="E95" i="14"/>
  <c r="E102" i="14" s="1"/>
  <c r="E103" i="14" s="1"/>
  <c r="F95" i="14"/>
  <c r="G95" i="14"/>
  <c r="H95" i="14"/>
  <c r="H102" i="14" s="1"/>
  <c r="H103" i="14" s="1"/>
  <c r="D98" i="14"/>
  <c r="E98" i="14" s="1"/>
  <c r="C100" i="14"/>
  <c r="C99" i="14" s="1"/>
  <c r="D100" i="14"/>
  <c r="D99" i="14" s="1"/>
  <c r="F102" i="14"/>
  <c r="F103" i="14" s="1"/>
  <c r="E64" i="14" l="1"/>
  <c r="E44" i="14"/>
  <c r="E100" i="14"/>
  <c r="E99" i="14" s="1"/>
  <c r="F98" i="14"/>
  <c r="H100" i="13"/>
  <c r="G100" i="13"/>
  <c r="F100" i="13"/>
  <c r="E100" i="13"/>
  <c r="D100" i="13"/>
  <c r="C100" i="13"/>
  <c r="H95" i="13"/>
  <c r="H102" i="13" s="1"/>
  <c r="H103" i="13" s="1"/>
  <c r="G95" i="13"/>
  <c r="F95" i="13"/>
  <c r="E95" i="13"/>
  <c r="E102" i="13" s="1"/>
  <c r="E103" i="13" s="1"/>
  <c r="D95" i="13"/>
  <c r="D102" i="13" s="1"/>
  <c r="D103" i="13" s="1"/>
  <c r="C95" i="13"/>
  <c r="H82" i="13"/>
  <c r="G82" i="13"/>
  <c r="G102" i="13" s="1"/>
  <c r="G103" i="13" s="1"/>
  <c r="F82" i="13"/>
  <c r="F102" i="13" s="1"/>
  <c r="F103" i="13" s="1"/>
  <c r="E82" i="13"/>
  <c r="D82" i="13"/>
  <c r="C82" i="13"/>
  <c r="C102" i="13" s="1"/>
  <c r="C103" i="13" s="1"/>
  <c r="H62" i="13"/>
  <c r="G62" i="13"/>
  <c r="F62" i="13"/>
  <c r="E62" i="13"/>
  <c r="D62" i="13"/>
  <c r="C62" i="13"/>
  <c r="H46" i="13"/>
  <c r="E46" i="13"/>
  <c r="D46" i="13"/>
  <c r="H41" i="13"/>
  <c r="G41" i="13"/>
  <c r="G46" i="13" s="1"/>
  <c r="F41" i="13"/>
  <c r="F46" i="13" s="1"/>
  <c r="E41" i="13"/>
  <c r="D41" i="13"/>
  <c r="C41" i="13"/>
  <c r="H34" i="13"/>
  <c r="H43" i="13" s="1"/>
  <c r="G34" i="13"/>
  <c r="F34" i="13"/>
  <c r="F43" i="13" s="1"/>
  <c r="E34" i="13"/>
  <c r="E43" i="13" s="1"/>
  <c r="D34" i="13"/>
  <c r="D43" i="13" s="1"/>
  <c r="C34" i="13"/>
  <c r="C21" i="13"/>
  <c r="C46" i="13" s="1"/>
  <c r="H16" i="13"/>
  <c r="G16" i="13"/>
  <c r="G43" i="13" s="1"/>
  <c r="F16" i="13"/>
  <c r="E16" i="13"/>
  <c r="D16" i="13"/>
  <c r="C16" i="13"/>
  <c r="C43" i="13" s="1"/>
  <c r="F100" i="14" l="1"/>
  <c r="F99" i="14" s="1"/>
  <c r="G98" i="14"/>
  <c r="C64" i="13"/>
  <c r="C44" i="13"/>
  <c r="G64" i="13"/>
  <c r="G44" i="13"/>
  <c r="D44" i="13"/>
  <c r="D64" i="13"/>
  <c r="H44" i="13"/>
  <c r="H64" i="13"/>
  <c r="E44" i="13"/>
  <c r="E64" i="13"/>
  <c r="F64" i="13"/>
  <c r="F44" i="13"/>
  <c r="G100" i="14" l="1"/>
  <c r="G99" i="14" s="1"/>
  <c r="H98" i="14"/>
  <c r="H100" i="14" s="1"/>
  <c r="H99" i="14" s="1"/>
  <c r="D10" i="12" l="1"/>
  <c r="E10" i="12"/>
  <c r="E16" i="12" s="1"/>
  <c r="F10" i="12"/>
  <c r="F16" i="12" s="1"/>
  <c r="F43" i="12" s="1"/>
  <c r="G10" i="12"/>
  <c r="H10" i="12"/>
  <c r="C16" i="12"/>
  <c r="D16" i="12"/>
  <c r="G16" i="12"/>
  <c r="H16" i="12"/>
  <c r="C19" i="12"/>
  <c r="D19" i="12"/>
  <c r="E19" i="12"/>
  <c r="F19" i="12"/>
  <c r="G19" i="12"/>
  <c r="H19" i="12"/>
  <c r="C20" i="12"/>
  <c r="C21" i="12" s="1"/>
  <c r="D20" i="12"/>
  <c r="D21" i="12" s="1"/>
  <c r="G20" i="12"/>
  <c r="G21" i="12" s="1"/>
  <c r="H20" i="12"/>
  <c r="H21" i="12" s="1"/>
  <c r="H46" i="12" s="1"/>
  <c r="D28" i="12"/>
  <c r="D34" i="12" s="1"/>
  <c r="D43" i="12" s="1"/>
  <c r="E28" i="12"/>
  <c r="E38" i="12" s="1"/>
  <c r="E41" i="12" s="1"/>
  <c r="F28" i="12"/>
  <c r="G28" i="12"/>
  <c r="G34" i="12" s="1"/>
  <c r="G43" i="12" s="1"/>
  <c r="H28" i="12"/>
  <c r="H34" i="12" s="1"/>
  <c r="H43" i="12" s="1"/>
  <c r="D29" i="12"/>
  <c r="E29" i="12"/>
  <c r="F29" i="12"/>
  <c r="G29" i="12"/>
  <c r="H29" i="12"/>
  <c r="C34" i="12"/>
  <c r="F34" i="12"/>
  <c r="C38" i="12"/>
  <c r="C41" i="12" s="1"/>
  <c r="D38" i="12"/>
  <c r="D41" i="12" s="1"/>
  <c r="F38" i="12"/>
  <c r="G38" i="12"/>
  <c r="G41" i="12" s="1"/>
  <c r="H38" i="12"/>
  <c r="H41" i="12" s="1"/>
  <c r="F41" i="12"/>
  <c r="C43" i="12"/>
  <c r="C44" i="12" s="1"/>
  <c r="C62" i="12"/>
  <c r="D62" i="12"/>
  <c r="E62" i="12"/>
  <c r="F62" i="12"/>
  <c r="G62" i="12"/>
  <c r="H62" i="12"/>
  <c r="C64" i="12"/>
  <c r="C82" i="12"/>
  <c r="D82" i="12"/>
  <c r="E82" i="12"/>
  <c r="E102" i="12" s="1"/>
  <c r="F82" i="12"/>
  <c r="F102" i="12" s="1"/>
  <c r="G82" i="12"/>
  <c r="H82" i="12"/>
  <c r="C95" i="12"/>
  <c r="D95" i="12"/>
  <c r="E95" i="12"/>
  <c r="F95" i="12"/>
  <c r="G95" i="12"/>
  <c r="H95" i="12"/>
  <c r="C100" i="12"/>
  <c r="D100" i="12"/>
  <c r="E100" i="12"/>
  <c r="F100" i="12"/>
  <c r="G100" i="12"/>
  <c r="H100" i="12"/>
  <c r="C102" i="12"/>
  <c r="C103" i="12" s="1"/>
  <c r="D102" i="12"/>
  <c r="D103" i="12" s="1"/>
  <c r="G102" i="12"/>
  <c r="G103" i="12" s="1"/>
  <c r="H102" i="12"/>
  <c r="H103" i="12" s="1"/>
  <c r="C16" i="11"/>
  <c r="D16" i="11"/>
  <c r="E16" i="11"/>
  <c r="F16" i="11"/>
  <c r="G16" i="11"/>
  <c r="H16" i="11"/>
  <c r="H43" i="11" s="1"/>
  <c r="D28" i="11"/>
  <c r="D34" i="11" s="1"/>
  <c r="C34" i="11"/>
  <c r="E34" i="11"/>
  <c r="F34" i="11"/>
  <c r="G34" i="11"/>
  <c r="H34" i="11"/>
  <c r="C41" i="11"/>
  <c r="C46" i="11" s="1"/>
  <c r="D41" i="11"/>
  <c r="D46" i="11" s="1"/>
  <c r="E41" i="11"/>
  <c r="F41" i="11"/>
  <c r="G41" i="11"/>
  <c r="G46" i="11" s="1"/>
  <c r="H41" i="11"/>
  <c r="H46" i="11" s="1"/>
  <c r="C43" i="11"/>
  <c r="E43" i="11"/>
  <c r="E44" i="11" s="1"/>
  <c r="F43" i="11"/>
  <c r="F44" i="11" s="1"/>
  <c r="G43" i="11"/>
  <c r="C44" i="11"/>
  <c r="G44" i="11"/>
  <c r="E46" i="11"/>
  <c r="F46" i="11"/>
  <c r="C62" i="11"/>
  <c r="C64" i="11" s="1"/>
  <c r="D62" i="11"/>
  <c r="E62" i="11"/>
  <c r="F62" i="11"/>
  <c r="G62" i="11"/>
  <c r="G64" i="11" s="1"/>
  <c r="H62" i="11"/>
  <c r="E64" i="11"/>
  <c r="F64" i="11"/>
  <c r="C82" i="11"/>
  <c r="C102" i="11" s="1"/>
  <c r="C103" i="11" s="1"/>
  <c r="D82" i="11"/>
  <c r="E82" i="11"/>
  <c r="F82" i="11"/>
  <c r="G82" i="11"/>
  <c r="G102" i="11" s="1"/>
  <c r="G103" i="11" s="1"/>
  <c r="H82" i="11"/>
  <c r="C95" i="11"/>
  <c r="D95" i="11"/>
  <c r="E95" i="11"/>
  <c r="F95" i="11"/>
  <c r="G95" i="11"/>
  <c r="H95" i="11"/>
  <c r="E98" i="11"/>
  <c r="F98" i="11" s="1"/>
  <c r="C99" i="11"/>
  <c r="D99" i="11"/>
  <c r="C100" i="11"/>
  <c r="D100" i="11"/>
  <c r="E100" i="11"/>
  <c r="E99" i="11" s="1"/>
  <c r="E101" i="11" s="1"/>
  <c r="C101" i="11"/>
  <c r="D101" i="11"/>
  <c r="D102" i="11"/>
  <c r="E102" i="11"/>
  <c r="E103" i="11" s="1"/>
  <c r="F102" i="11"/>
  <c r="F103" i="11" s="1"/>
  <c r="H102" i="11"/>
  <c r="G44" i="12" l="1"/>
  <c r="G64" i="12"/>
  <c r="F64" i="12"/>
  <c r="F44" i="12"/>
  <c r="G46" i="12"/>
  <c r="F103" i="12"/>
  <c r="D46" i="12"/>
  <c r="E103" i="12"/>
  <c r="H44" i="12"/>
  <c r="H64" i="12"/>
  <c r="D44" i="12"/>
  <c r="D64" i="12"/>
  <c r="C46" i="12"/>
  <c r="E34" i="12"/>
  <c r="E43" i="12" s="1"/>
  <c r="F20" i="12"/>
  <c r="F21" i="12" s="1"/>
  <c r="F46" i="12" s="1"/>
  <c r="E20" i="12"/>
  <c r="E21" i="12" s="1"/>
  <c r="E46" i="12" s="1"/>
  <c r="F100" i="11"/>
  <c r="F99" i="11" s="1"/>
  <c r="F101" i="11" s="1"/>
  <c r="G98" i="11"/>
  <c r="H64" i="11"/>
  <c r="H44" i="11"/>
  <c r="D43" i="11"/>
  <c r="H103" i="11"/>
  <c r="D103" i="11"/>
  <c r="C8" i="10"/>
  <c r="C19" i="10" s="1"/>
  <c r="D8" i="10"/>
  <c r="D19" i="10" s="1"/>
  <c r="C10" i="10"/>
  <c r="C16" i="10" s="1"/>
  <c r="C43" i="10" s="1"/>
  <c r="D10" i="10"/>
  <c r="E10" i="10"/>
  <c r="E16" i="10" s="1"/>
  <c r="F10" i="10"/>
  <c r="F16" i="10" s="1"/>
  <c r="G10" i="10"/>
  <c r="H10" i="10" s="1"/>
  <c r="C11" i="10"/>
  <c r="D16" i="10"/>
  <c r="D43" i="10" s="1"/>
  <c r="E19" i="10"/>
  <c r="F19" i="10"/>
  <c r="G19" i="10"/>
  <c r="H19" i="10"/>
  <c r="D20" i="10"/>
  <c r="C28" i="10"/>
  <c r="D28" i="10"/>
  <c r="E29" i="10"/>
  <c r="E28" i="10" s="1"/>
  <c r="F29" i="10"/>
  <c r="F28" i="10" s="1"/>
  <c r="G29" i="10"/>
  <c r="G28" i="10" s="1"/>
  <c r="H29" i="10"/>
  <c r="H28" i="10" s="1"/>
  <c r="C34" i="10"/>
  <c r="D34" i="10"/>
  <c r="D37" i="10"/>
  <c r="E37" i="10"/>
  <c r="F37" i="10"/>
  <c r="G37" i="10"/>
  <c r="H37" i="10"/>
  <c r="C38" i="10"/>
  <c r="D38" i="10"/>
  <c r="C39" i="10"/>
  <c r="C41" i="10" s="1"/>
  <c r="C46" i="10" s="1"/>
  <c r="D39" i="10"/>
  <c r="E39" i="10"/>
  <c r="F39" i="10"/>
  <c r="G39" i="10"/>
  <c r="H39" i="10"/>
  <c r="D41" i="10"/>
  <c r="D46" i="10" s="1"/>
  <c r="D99" i="10" s="1"/>
  <c r="E49" i="10"/>
  <c r="F49" i="10"/>
  <c r="F51" i="10" s="1"/>
  <c r="F62" i="10" s="1"/>
  <c r="G49" i="10"/>
  <c r="G51" i="10" s="1"/>
  <c r="G62" i="10" s="1"/>
  <c r="H49" i="10"/>
  <c r="C50" i="10"/>
  <c r="D51" i="10"/>
  <c r="D62" i="10" s="1"/>
  <c r="E51" i="10"/>
  <c r="E62" i="10" s="1"/>
  <c r="H51" i="10"/>
  <c r="H62" i="10" s="1"/>
  <c r="C62" i="10"/>
  <c r="C82" i="10"/>
  <c r="C102" i="10" s="1"/>
  <c r="D82" i="10"/>
  <c r="E82" i="10"/>
  <c r="E102" i="10" s="1"/>
  <c r="F82" i="10"/>
  <c r="F102" i="10" s="1"/>
  <c r="F103" i="10" s="1"/>
  <c r="G82" i="10"/>
  <c r="G102" i="10" s="1"/>
  <c r="H82" i="10"/>
  <c r="C84" i="10"/>
  <c r="C95" i="10"/>
  <c r="D95" i="10"/>
  <c r="E95" i="10"/>
  <c r="F95" i="10"/>
  <c r="G95" i="10"/>
  <c r="H95" i="10"/>
  <c r="C97" i="10"/>
  <c r="D97" i="10"/>
  <c r="E97" i="10"/>
  <c r="F97" i="10"/>
  <c r="G97" i="10"/>
  <c r="H97" i="10"/>
  <c r="D98" i="10"/>
  <c r="D100" i="10" s="1"/>
  <c r="E98" i="10"/>
  <c r="F98" i="10" s="1"/>
  <c r="C100" i="10"/>
  <c r="D102" i="10"/>
  <c r="D103" i="10" s="1"/>
  <c r="H102" i="10"/>
  <c r="E64" i="12" l="1"/>
  <c r="E44" i="12"/>
  <c r="H98" i="11"/>
  <c r="H100" i="11" s="1"/>
  <c r="H99" i="11" s="1"/>
  <c r="H101" i="11" s="1"/>
  <c r="G100" i="11"/>
  <c r="G99" i="11" s="1"/>
  <c r="G101" i="11" s="1"/>
  <c r="D64" i="11"/>
  <c r="D44" i="11"/>
  <c r="G38" i="10"/>
  <c r="G41" i="10" s="1"/>
  <c r="G34" i="10"/>
  <c r="H16" i="10"/>
  <c r="H20" i="10"/>
  <c r="H21" i="10" s="1"/>
  <c r="C44" i="10"/>
  <c r="C64" i="10"/>
  <c r="G98" i="10"/>
  <c r="C103" i="10"/>
  <c r="F38" i="10"/>
  <c r="F34" i="10"/>
  <c r="F43" i="10" s="1"/>
  <c r="E21" i="10"/>
  <c r="E46" i="10" s="1"/>
  <c r="E99" i="10" s="1"/>
  <c r="F99" i="10" s="1"/>
  <c r="F100" i="10"/>
  <c r="F41" i="10"/>
  <c r="E34" i="10"/>
  <c r="E38" i="10"/>
  <c r="E41" i="10" s="1"/>
  <c r="D44" i="10"/>
  <c r="D64" i="10"/>
  <c r="E43" i="10"/>
  <c r="E103" i="10"/>
  <c r="H38" i="10"/>
  <c r="H41" i="10" s="1"/>
  <c r="H34" i="10"/>
  <c r="E100" i="10"/>
  <c r="G20" i="10"/>
  <c r="G21" i="10" s="1"/>
  <c r="C20" i="10"/>
  <c r="G16" i="10"/>
  <c r="G43" i="10" s="1"/>
  <c r="F20" i="10"/>
  <c r="F21" i="10" s="1"/>
  <c r="F46" i="10" s="1"/>
  <c r="E20" i="10"/>
  <c r="C16" i="9"/>
  <c r="D16" i="9"/>
  <c r="D43" i="9" s="1"/>
  <c r="E16" i="9"/>
  <c r="F16" i="9"/>
  <c r="G16" i="9"/>
  <c r="H16" i="9"/>
  <c r="H43" i="9" s="1"/>
  <c r="C19" i="9"/>
  <c r="C20" i="9"/>
  <c r="C21" i="9"/>
  <c r="C34" i="9"/>
  <c r="D34" i="9"/>
  <c r="E34" i="9"/>
  <c r="F34" i="9"/>
  <c r="G34" i="9"/>
  <c r="H34" i="9"/>
  <c r="C37" i="9"/>
  <c r="C38" i="9"/>
  <c r="C41" i="9" s="1"/>
  <c r="C46" i="9" s="1"/>
  <c r="D38" i="9"/>
  <c r="D41" i="9" s="1"/>
  <c r="D46" i="9" s="1"/>
  <c r="E38" i="9"/>
  <c r="F38" i="9"/>
  <c r="F41" i="9" s="1"/>
  <c r="F46" i="9" s="1"/>
  <c r="G38" i="9"/>
  <c r="G41" i="9" s="1"/>
  <c r="G46" i="9" s="1"/>
  <c r="H38" i="9"/>
  <c r="H41" i="9" s="1"/>
  <c r="H46" i="9" s="1"/>
  <c r="C39" i="9"/>
  <c r="E41" i="9"/>
  <c r="E46" i="9" s="1"/>
  <c r="C43" i="9"/>
  <c r="C44" i="9" s="1"/>
  <c r="E43" i="9"/>
  <c r="F43" i="9"/>
  <c r="F44" i="9" s="1"/>
  <c r="G43" i="9"/>
  <c r="G44" i="9" s="1"/>
  <c r="E44" i="9"/>
  <c r="C62" i="9"/>
  <c r="D62" i="9"/>
  <c r="E62" i="9"/>
  <c r="E64" i="9" s="1"/>
  <c r="F62" i="9"/>
  <c r="G62" i="9"/>
  <c r="H62" i="9"/>
  <c r="C64" i="9"/>
  <c r="F64" i="9"/>
  <c r="G64" i="9"/>
  <c r="C82" i="9"/>
  <c r="D82" i="9"/>
  <c r="D102" i="9" s="1"/>
  <c r="D103" i="9" s="1"/>
  <c r="E82" i="9"/>
  <c r="E102" i="9" s="1"/>
  <c r="E103" i="9" s="1"/>
  <c r="F82" i="9"/>
  <c r="G82" i="9"/>
  <c r="H82" i="9"/>
  <c r="H102" i="9" s="1"/>
  <c r="H103" i="9" s="1"/>
  <c r="C95" i="9"/>
  <c r="D95" i="9"/>
  <c r="E95" i="9"/>
  <c r="F95" i="9"/>
  <c r="G95" i="9"/>
  <c r="H95" i="9"/>
  <c r="C100" i="9"/>
  <c r="D100" i="9"/>
  <c r="E100" i="9"/>
  <c r="F100" i="9"/>
  <c r="G100" i="9"/>
  <c r="H100" i="9"/>
  <c r="C102" i="9"/>
  <c r="C103" i="9" s="1"/>
  <c r="F102" i="9"/>
  <c r="F103" i="9" s="1"/>
  <c r="G102" i="9"/>
  <c r="G103" i="9" s="1"/>
  <c r="F44" i="10" l="1"/>
  <c r="F64" i="10"/>
  <c r="G44" i="10"/>
  <c r="G64" i="10"/>
  <c r="E44" i="10"/>
  <c r="E64" i="10"/>
  <c r="G103" i="10"/>
  <c r="H46" i="10"/>
  <c r="G46" i="10"/>
  <c r="G99" i="10" s="1"/>
  <c r="H99" i="10" s="1"/>
  <c r="G100" i="10"/>
  <c r="H98" i="10"/>
  <c r="H100" i="10" s="1"/>
  <c r="H43" i="10"/>
  <c r="H103" i="10"/>
  <c r="H64" i="9"/>
  <c r="H44" i="9"/>
  <c r="D64" i="9"/>
  <c r="D44" i="9"/>
  <c r="C10" i="8"/>
  <c r="C16" i="8"/>
  <c r="C43" i="8" s="1"/>
  <c r="D16" i="8"/>
  <c r="D43" i="8" s="1"/>
  <c r="E16" i="8"/>
  <c r="F16" i="8"/>
  <c r="F43" i="8" s="1"/>
  <c r="G16" i="8"/>
  <c r="G43" i="8" s="1"/>
  <c r="H16" i="8"/>
  <c r="H43" i="8" s="1"/>
  <c r="C19" i="8"/>
  <c r="D19" i="8"/>
  <c r="E19" i="8"/>
  <c r="F19" i="8"/>
  <c r="G19" i="8"/>
  <c r="H19" i="8"/>
  <c r="C20" i="8"/>
  <c r="C21" i="8" s="1"/>
  <c r="C46" i="8" s="1"/>
  <c r="D20" i="8"/>
  <c r="D21" i="8" s="1"/>
  <c r="D46" i="8" s="1"/>
  <c r="E20" i="8"/>
  <c r="F20" i="8"/>
  <c r="G20" i="8"/>
  <c r="G21" i="8" s="1"/>
  <c r="G46" i="8" s="1"/>
  <c r="H20" i="8"/>
  <c r="H21" i="8" s="1"/>
  <c r="H46" i="8" s="1"/>
  <c r="E21" i="8"/>
  <c r="F21" i="8"/>
  <c r="F46" i="8" s="1"/>
  <c r="C28" i="8"/>
  <c r="C34" i="8"/>
  <c r="D34" i="8"/>
  <c r="E34" i="8"/>
  <c r="F34" i="8"/>
  <c r="G34" i="8"/>
  <c r="H34" i="8"/>
  <c r="C37" i="8"/>
  <c r="D37" i="8"/>
  <c r="D41" i="8" s="1"/>
  <c r="E37" i="8"/>
  <c r="E41" i="8" s="1"/>
  <c r="E46" i="8" s="1"/>
  <c r="F37" i="8"/>
  <c r="G37" i="8"/>
  <c r="H37" i="8"/>
  <c r="H41" i="8" s="1"/>
  <c r="C38" i="8"/>
  <c r="D38" i="8"/>
  <c r="E38" i="8"/>
  <c r="F38" i="8"/>
  <c r="G38" i="8"/>
  <c r="H38" i="8"/>
  <c r="C39" i="8"/>
  <c r="D39" i="8"/>
  <c r="E39" i="8"/>
  <c r="F39" i="8"/>
  <c r="G39" i="8"/>
  <c r="H39" i="8"/>
  <c r="C41" i="8"/>
  <c r="F41" i="8"/>
  <c r="G41" i="8"/>
  <c r="E43" i="8"/>
  <c r="E44" i="8" s="1"/>
  <c r="C62" i="8"/>
  <c r="D62" i="8"/>
  <c r="E62" i="8"/>
  <c r="F62" i="8"/>
  <c r="G62" i="8"/>
  <c r="H62" i="8"/>
  <c r="E64" i="8"/>
  <c r="C82" i="8"/>
  <c r="C102" i="8" s="1"/>
  <c r="C103" i="8" s="1"/>
  <c r="D82" i="8"/>
  <c r="E82" i="8"/>
  <c r="F82" i="8"/>
  <c r="F102" i="8" s="1"/>
  <c r="F103" i="8" s="1"/>
  <c r="G82" i="8"/>
  <c r="G102" i="8" s="1"/>
  <c r="G103" i="8" s="1"/>
  <c r="H82" i="8"/>
  <c r="C95" i="8"/>
  <c r="D95" i="8"/>
  <c r="E95" i="8"/>
  <c r="F95" i="8"/>
  <c r="G95" i="8"/>
  <c r="H95" i="8"/>
  <c r="C100" i="8"/>
  <c r="D100" i="8"/>
  <c r="E100" i="8"/>
  <c r="F100" i="8"/>
  <c r="G100" i="8"/>
  <c r="H100" i="8"/>
  <c r="D102" i="8"/>
  <c r="D103" i="8" s="1"/>
  <c r="E102" i="8"/>
  <c r="E103" i="8" s="1"/>
  <c r="H102" i="8"/>
  <c r="H103" i="8" s="1"/>
  <c r="H44" i="10" l="1"/>
  <c r="H64" i="10"/>
  <c r="H44" i="8"/>
  <c r="H64" i="8"/>
  <c r="D44" i="8"/>
  <c r="D64" i="8"/>
  <c r="G64" i="8"/>
  <c r="G44" i="8"/>
  <c r="C64" i="8"/>
  <c r="C44" i="8"/>
  <c r="F64" i="8"/>
  <c r="F44" i="8"/>
  <c r="D10" i="7"/>
  <c r="E10" i="7"/>
  <c r="E16" i="7" s="1"/>
  <c r="F10" i="7"/>
  <c r="G10" i="7" s="1"/>
  <c r="C16" i="7"/>
  <c r="C43" i="7" s="1"/>
  <c r="D16" i="7"/>
  <c r="D43" i="7" s="1"/>
  <c r="C19" i="7"/>
  <c r="D19" i="7"/>
  <c r="E19" i="7"/>
  <c r="F19" i="7"/>
  <c r="G19" i="7"/>
  <c r="H19" i="7"/>
  <c r="C20" i="7"/>
  <c r="C21" i="7" s="1"/>
  <c r="D20" i="7"/>
  <c r="D21" i="7" s="1"/>
  <c r="D46" i="7" s="1"/>
  <c r="E28" i="7"/>
  <c r="E34" i="7" s="1"/>
  <c r="F28" i="7"/>
  <c r="G28" i="7" s="1"/>
  <c r="E29" i="7"/>
  <c r="F29" i="7"/>
  <c r="G29" i="7" s="1"/>
  <c r="H29" i="7" s="1"/>
  <c r="E30" i="7"/>
  <c r="F30" i="7"/>
  <c r="G30" i="7" s="1"/>
  <c r="C33" i="7"/>
  <c r="C39" i="7" s="1"/>
  <c r="C41" i="7" s="1"/>
  <c r="C34" i="7"/>
  <c r="D34" i="7"/>
  <c r="C37" i="7"/>
  <c r="D37" i="7"/>
  <c r="D41" i="7" s="1"/>
  <c r="E37" i="7"/>
  <c r="F37" i="7"/>
  <c r="G37" i="7"/>
  <c r="H37" i="7"/>
  <c r="C38" i="7"/>
  <c r="D38" i="7"/>
  <c r="D39" i="7"/>
  <c r="E39" i="7"/>
  <c r="C62" i="7"/>
  <c r="D62" i="7"/>
  <c r="E62" i="7"/>
  <c r="F62" i="7"/>
  <c r="G62" i="7"/>
  <c r="H62" i="7"/>
  <c r="C82" i="7"/>
  <c r="C102" i="7" s="1"/>
  <c r="C103" i="7" s="1"/>
  <c r="D82" i="7"/>
  <c r="E82" i="7"/>
  <c r="E102" i="7" s="1"/>
  <c r="F82" i="7"/>
  <c r="F102" i="7" s="1"/>
  <c r="G82" i="7"/>
  <c r="G102" i="7" s="1"/>
  <c r="H82" i="7"/>
  <c r="C95" i="7"/>
  <c r="D95" i="7"/>
  <c r="E95" i="7"/>
  <c r="F95" i="7"/>
  <c r="G95" i="7"/>
  <c r="H95" i="7"/>
  <c r="D98" i="7"/>
  <c r="E98" i="7" s="1"/>
  <c r="C100" i="7"/>
  <c r="D102" i="7"/>
  <c r="D103" i="7" s="1"/>
  <c r="H102" i="7"/>
  <c r="F98" i="7" l="1"/>
  <c r="E100" i="7"/>
  <c r="G103" i="7"/>
  <c r="H30" i="7"/>
  <c r="H39" i="7" s="1"/>
  <c r="G39" i="7"/>
  <c r="H28" i="7"/>
  <c r="G34" i="7"/>
  <c r="G38" i="7"/>
  <c r="H10" i="7"/>
  <c r="G16" i="7"/>
  <c r="G20" i="7"/>
  <c r="G21" i="7" s="1"/>
  <c r="F103" i="7"/>
  <c r="E43" i="7"/>
  <c r="E103" i="7"/>
  <c r="D44" i="7"/>
  <c r="D64" i="7"/>
  <c r="C46" i="7"/>
  <c r="C64" i="7"/>
  <c r="C44" i="7"/>
  <c r="F38" i="7"/>
  <c r="F41" i="7" s="1"/>
  <c r="F34" i="7"/>
  <c r="D100" i="7"/>
  <c r="E38" i="7"/>
  <c r="E41" i="7" s="1"/>
  <c r="F20" i="7"/>
  <c r="F21" i="7" s="1"/>
  <c r="F46" i="7" s="1"/>
  <c r="F16" i="7"/>
  <c r="F43" i="7" s="1"/>
  <c r="F39" i="7"/>
  <c r="E20" i="7"/>
  <c r="E21" i="7" s="1"/>
  <c r="C16" i="6"/>
  <c r="D16" i="6"/>
  <c r="D21" i="6" s="1"/>
  <c r="D46" i="6" s="1"/>
  <c r="E16" i="6"/>
  <c r="E21" i="6" s="1"/>
  <c r="E46" i="6" s="1"/>
  <c r="F16" i="6"/>
  <c r="G16" i="6"/>
  <c r="H16" i="6"/>
  <c r="H21" i="6" s="1"/>
  <c r="H46" i="6" s="1"/>
  <c r="C19" i="6"/>
  <c r="F21" i="6"/>
  <c r="G21" i="6"/>
  <c r="C34" i="6"/>
  <c r="D34" i="6"/>
  <c r="E34" i="6"/>
  <c r="F34" i="6"/>
  <c r="G34" i="6"/>
  <c r="H34" i="6"/>
  <c r="D37" i="6"/>
  <c r="D41" i="6" s="1"/>
  <c r="E37" i="6"/>
  <c r="F37" i="6"/>
  <c r="F41" i="6" s="1"/>
  <c r="F46" i="6" s="1"/>
  <c r="G37" i="6"/>
  <c r="G41" i="6" s="1"/>
  <c r="G46" i="6" s="1"/>
  <c r="H37" i="6"/>
  <c r="H41" i="6" s="1"/>
  <c r="D39" i="6"/>
  <c r="E39" i="6"/>
  <c r="F39" i="6"/>
  <c r="G39" i="6"/>
  <c r="H39" i="6"/>
  <c r="C41" i="6"/>
  <c r="E41" i="6"/>
  <c r="C43" i="6"/>
  <c r="C44" i="6" s="1"/>
  <c r="F43" i="6"/>
  <c r="F44" i="6" s="1"/>
  <c r="G43" i="6"/>
  <c r="G44" i="6" s="1"/>
  <c r="C46" i="6"/>
  <c r="C62" i="6"/>
  <c r="D62" i="6"/>
  <c r="E62" i="6"/>
  <c r="F62" i="6"/>
  <c r="G62" i="6"/>
  <c r="H62" i="6"/>
  <c r="C64" i="6"/>
  <c r="F64" i="6"/>
  <c r="G64" i="6"/>
  <c r="C82" i="6"/>
  <c r="D82" i="6"/>
  <c r="D102" i="6" s="1"/>
  <c r="D103" i="6" s="1"/>
  <c r="E82" i="6"/>
  <c r="E102" i="6" s="1"/>
  <c r="E103" i="6" s="1"/>
  <c r="F82" i="6"/>
  <c r="G82" i="6"/>
  <c r="H82" i="6"/>
  <c r="H102" i="6" s="1"/>
  <c r="H103" i="6" s="1"/>
  <c r="C95" i="6"/>
  <c r="D95" i="6"/>
  <c r="E95" i="6"/>
  <c r="F95" i="6"/>
  <c r="G95" i="6"/>
  <c r="H95" i="6"/>
  <c r="C100" i="6"/>
  <c r="D100" i="6"/>
  <c r="E100" i="6"/>
  <c r="F100" i="6"/>
  <c r="G100" i="6"/>
  <c r="H100" i="6"/>
  <c r="C102" i="6"/>
  <c r="C103" i="6" s="1"/>
  <c r="F102" i="6"/>
  <c r="F103" i="6" s="1"/>
  <c r="G102" i="6"/>
  <c r="G103" i="6" s="1"/>
  <c r="E46" i="7" l="1"/>
  <c r="E64" i="7"/>
  <c r="E44" i="7"/>
  <c r="G43" i="7"/>
  <c r="H34" i="7"/>
  <c r="H38" i="7"/>
  <c r="H41" i="7" s="1"/>
  <c r="H16" i="7"/>
  <c r="H20" i="7"/>
  <c r="H21" i="7" s="1"/>
  <c r="G98" i="7"/>
  <c r="F100" i="7"/>
  <c r="F64" i="7"/>
  <c r="F44" i="7"/>
  <c r="G41" i="7"/>
  <c r="G46" i="7" s="1"/>
  <c r="E43" i="6"/>
  <c r="H43" i="6"/>
  <c r="D43" i="6"/>
  <c r="C10" i="5"/>
  <c r="C16" i="5"/>
  <c r="D16" i="5"/>
  <c r="D43" i="5" s="1"/>
  <c r="E16" i="5"/>
  <c r="F16" i="5"/>
  <c r="G16" i="5"/>
  <c r="H16" i="5"/>
  <c r="H43" i="5" s="1"/>
  <c r="C20" i="5"/>
  <c r="C21" i="5"/>
  <c r="D21" i="5"/>
  <c r="D46" i="5" s="1"/>
  <c r="E21" i="5"/>
  <c r="E46" i="5" s="1"/>
  <c r="F21" i="5"/>
  <c r="G21" i="5"/>
  <c r="H21" i="5"/>
  <c r="H46" i="5" s="1"/>
  <c r="C28" i="5"/>
  <c r="C34" i="5" s="1"/>
  <c r="C43" i="5" s="1"/>
  <c r="D28" i="5"/>
  <c r="E28" i="5"/>
  <c r="F28" i="5"/>
  <c r="F34" i="5" s="1"/>
  <c r="F43" i="5" s="1"/>
  <c r="G28" i="5"/>
  <c r="G34" i="5" s="1"/>
  <c r="G43" i="5" s="1"/>
  <c r="H28" i="5"/>
  <c r="D34" i="5"/>
  <c r="E34" i="5"/>
  <c r="E43" i="5" s="1"/>
  <c r="H34" i="5"/>
  <c r="C39" i="5"/>
  <c r="C41" i="5" s="1"/>
  <c r="C46" i="5" s="1"/>
  <c r="D39" i="5"/>
  <c r="E39" i="5"/>
  <c r="F39" i="5"/>
  <c r="F41" i="5" s="1"/>
  <c r="F46" i="5" s="1"/>
  <c r="G39" i="5"/>
  <c r="G41" i="5" s="1"/>
  <c r="G46" i="5" s="1"/>
  <c r="H39" i="5"/>
  <c r="D41" i="5"/>
  <c r="E41" i="5"/>
  <c r="H41" i="5"/>
  <c r="C62" i="5"/>
  <c r="D62" i="5"/>
  <c r="E62" i="5"/>
  <c r="F62" i="5"/>
  <c r="G62" i="5"/>
  <c r="H62" i="5"/>
  <c r="C82" i="5"/>
  <c r="C102" i="5" s="1"/>
  <c r="C103" i="5" s="1"/>
  <c r="D82" i="5"/>
  <c r="D102" i="5" s="1"/>
  <c r="D103" i="5" s="1"/>
  <c r="E82" i="5"/>
  <c r="E102" i="5" s="1"/>
  <c r="E103" i="5" s="1"/>
  <c r="F82" i="5"/>
  <c r="G82" i="5"/>
  <c r="G102" i="5" s="1"/>
  <c r="G103" i="5" s="1"/>
  <c r="H82" i="5"/>
  <c r="H102" i="5" s="1"/>
  <c r="H103" i="5" s="1"/>
  <c r="C84" i="5"/>
  <c r="F102" i="5"/>
  <c r="F103" i="5" s="1"/>
  <c r="G100" i="7" l="1"/>
  <c r="H98" i="7"/>
  <c r="H100" i="7" s="1"/>
  <c r="H46" i="7"/>
  <c r="G64" i="7"/>
  <c r="G44" i="7"/>
  <c r="H43" i="7"/>
  <c r="H103" i="7"/>
  <c r="D64" i="6"/>
  <c r="D44" i="6"/>
  <c r="H64" i="6"/>
  <c r="H44" i="6"/>
  <c r="E64" i="6"/>
  <c r="E44" i="6"/>
  <c r="G44" i="5"/>
  <c r="G64" i="5"/>
  <c r="C44" i="5"/>
  <c r="C64" i="5"/>
  <c r="H64" i="5"/>
  <c r="H44" i="5"/>
  <c r="D64" i="5"/>
  <c r="D44" i="5"/>
  <c r="E64" i="5"/>
  <c r="E44" i="5"/>
  <c r="F44" i="5"/>
  <c r="F64" i="5"/>
  <c r="H100" i="4"/>
  <c r="G100" i="4"/>
  <c r="F100" i="4"/>
  <c r="E100" i="4"/>
  <c r="D100" i="4"/>
  <c r="C100" i="4"/>
  <c r="H95" i="4"/>
  <c r="H102" i="4" s="1"/>
  <c r="G95" i="4"/>
  <c r="F95" i="4"/>
  <c r="F102" i="4" s="1"/>
  <c r="F103" i="4" s="1"/>
  <c r="E95" i="4"/>
  <c r="E102" i="4" s="1"/>
  <c r="E103" i="4" s="1"/>
  <c r="D95" i="4"/>
  <c r="D102" i="4" s="1"/>
  <c r="C87" i="4"/>
  <c r="C95" i="4" s="1"/>
  <c r="H82" i="4"/>
  <c r="G82" i="4"/>
  <c r="G102" i="4" s="1"/>
  <c r="G103" i="4" s="1"/>
  <c r="E82" i="4"/>
  <c r="D82" i="4"/>
  <c r="C82" i="4"/>
  <c r="C102" i="4" s="1"/>
  <c r="C103" i="4" s="1"/>
  <c r="H62" i="4"/>
  <c r="G62" i="4"/>
  <c r="F62" i="4"/>
  <c r="E62" i="4"/>
  <c r="D62" i="4"/>
  <c r="C62" i="4"/>
  <c r="H46" i="4"/>
  <c r="E46" i="4"/>
  <c r="D46" i="4"/>
  <c r="H41" i="4"/>
  <c r="G41" i="4"/>
  <c r="G46" i="4" s="1"/>
  <c r="F41" i="4"/>
  <c r="F46" i="4" s="1"/>
  <c r="E41" i="4"/>
  <c r="D41" i="4"/>
  <c r="C41" i="4"/>
  <c r="H34" i="4"/>
  <c r="E34" i="4"/>
  <c r="D34" i="4"/>
  <c r="C34" i="4"/>
  <c r="H28" i="4"/>
  <c r="G28" i="4"/>
  <c r="G34" i="4" s="1"/>
  <c r="F28" i="4"/>
  <c r="F34" i="4" s="1"/>
  <c r="E28" i="4"/>
  <c r="D28" i="4"/>
  <c r="D26" i="4"/>
  <c r="C21" i="4"/>
  <c r="C46" i="4" s="1"/>
  <c r="F16" i="4"/>
  <c r="E16" i="4"/>
  <c r="E43" i="4" s="1"/>
  <c r="C16" i="4"/>
  <c r="C43" i="4" s="1"/>
  <c r="H10" i="4"/>
  <c r="H16" i="4" s="1"/>
  <c r="H43" i="4" s="1"/>
  <c r="G10" i="4"/>
  <c r="G16" i="4" s="1"/>
  <c r="F10" i="4"/>
  <c r="E10" i="4"/>
  <c r="D10" i="4"/>
  <c r="D16" i="4" s="1"/>
  <c r="D43" i="4" s="1"/>
  <c r="H44" i="7" l="1"/>
  <c r="H64" i="7"/>
  <c r="D44" i="4"/>
  <c r="D64" i="4"/>
  <c r="H44" i="4"/>
  <c r="H64" i="4"/>
  <c r="D103" i="4"/>
  <c r="H103" i="4"/>
  <c r="C64" i="4"/>
  <c r="C44" i="4"/>
  <c r="E44" i="4"/>
  <c r="E64" i="4"/>
  <c r="G43" i="4"/>
  <c r="F43" i="4"/>
  <c r="G64" i="4" l="1"/>
  <c r="G44" i="4"/>
  <c r="F64" i="4"/>
  <c r="F44" i="4"/>
  <c r="H21" i="1" l="1"/>
  <c r="G21" i="1"/>
  <c r="F21" i="1"/>
  <c r="H99" i="1"/>
  <c r="G99" i="1"/>
  <c r="F99" i="1"/>
  <c r="E99" i="1"/>
  <c r="E21" i="1"/>
  <c r="D21" i="1"/>
  <c r="C99" i="1"/>
  <c r="C21" i="1"/>
  <c r="D34" i="1"/>
  <c r="E34" i="1"/>
  <c r="F34" i="1"/>
  <c r="G34" i="1"/>
  <c r="H34" i="1"/>
  <c r="C34" i="1"/>
  <c r="D41" i="1" l="1"/>
  <c r="D46" i="1" s="1"/>
  <c r="E41" i="1"/>
  <c r="E46" i="1" s="1"/>
  <c r="F41" i="1"/>
  <c r="F46" i="1" s="1"/>
  <c r="G41" i="1"/>
  <c r="G46" i="1" s="1"/>
  <c r="H41" i="1"/>
  <c r="H46" i="1" s="1"/>
  <c r="C41" i="1"/>
  <c r="C46" i="1" s="1"/>
  <c r="D100" i="1" l="1"/>
  <c r="E100" i="1"/>
  <c r="F100" i="1"/>
  <c r="G100" i="1"/>
  <c r="H100" i="1"/>
  <c r="C100" i="1"/>
  <c r="D95" i="1" l="1"/>
  <c r="E95" i="1"/>
  <c r="F95" i="1"/>
  <c r="G95" i="1"/>
  <c r="H95" i="1"/>
  <c r="C95" i="1"/>
  <c r="D16" i="1"/>
  <c r="E16" i="1"/>
  <c r="F16" i="1"/>
  <c r="G16" i="1"/>
  <c r="H16" i="1"/>
  <c r="C16" i="1"/>
  <c r="C82" i="1"/>
  <c r="C62" i="1"/>
  <c r="H82" i="1"/>
  <c r="G82" i="1"/>
  <c r="F82" i="1"/>
  <c r="E82" i="1"/>
  <c r="D82" i="1"/>
  <c r="H62" i="1"/>
  <c r="G62" i="1"/>
  <c r="F62" i="1"/>
  <c r="D62" i="1"/>
  <c r="E62" i="1"/>
  <c r="F102" i="1" l="1"/>
  <c r="F103" i="1" s="1"/>
  <c r="G102" i="1"/>
  <c r="G103" i="1" s="1"/>
  <c r="C102" i="1"/>
  <c r="C103" i="1" s="1"/>
  <c r="E102" i="1"/>
  <c r="E103" i="1" s="1"/>
  <c r="D43" i="1"/>
  <c r="D64" i="1" s="1"/>
  <c r="D102" i="1"/>
  <c r="D103" i="1" s="1"/>
  <c r="C43" i="1"/>
  <c r="C64" i="1" s="1"/>
  <c r="H102" i="1"/>
  <c r="H103" i="1" s="1"/>
  <c r="G43" i="1"/>
  <c r="G64" i="1" s="1"/>
  <c r="F43" i="1"/>
  <c r="F64" i="1" s="1"/>
  <c r="H43" i="1"/>
  <c r="H64" i="1" s="1"/>
  <c r="E43" i="1"/>
  <c r="E64" i="1" s="1"/>
  <c r="D44" i="1" l="1"/>
  <c r="C44" i="1"/>
  <c r="G44" i="1"/>
  <c r="E44" i="1"/>
  <c r="H44" i="1"/>
  <c r="F44" i="1"/>
</calcChain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9"/>
            <color indexed="8"/>
            <rFont val="Tahoma"/>
            <family val="2"/>
            <charset val="186"/>
          </rPr>
          <t xml:space="preserve">Maris Viire:
</t>
        </r>
        <r>
          <rPr>
            <sz val="9"/>
            <color indexed="8"/>
            <rFont val="Tahoma"/>
            <family val="2"/>
            <charset val="186"/>
          </rPr>
          <t>Rasvase kirjaga tegelikud tulemused, heledaga prognoosid</t>
        </r>
      </text>
    </comment>
  </commentList>
</comments>
</file>

<file path=xl/comments2.xml><?xml version="1.0" encoding="utf-8"?>
<comments xmlns="http://schemas.openxmlformats.org/spreadsheetml/2006/main">
  <authors>
    <author>Maris Viire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186"/>
          </rPr>
          <t>Maris Viire:</t>
        </r>
        <r>
          <rPr>
            <sz val="9"/>
            <color indexed="81"/>
            <rFont val="Tahoma"/>
            <family val="2"/>
            <charset val="186"/>
          </rPr>
          <t xml:space="preserve">
Rasvase kirjaga tegelikud tulemused, heledaga prognoosid</t>
        </r>
      </text>
    </comment>
  </commentList>
</comments>
</file>

<file path=xl/sharedStrings.xml><?xml version="1.0" encoding="utf-8"?>
<sst xmlns="http://schemas.openxmlformats.org/spreadsheetml/2006/main" count="4530" uniqueCount="362">
  <si>
    <t>Põhitegevuse tulud kokku</t>
  </si>
  <si>
    <t>Põhitegevuse kulud kokku</t>
  </si>
  <si>
    <t>Põhitegevuse tulem</t>
  </si>
  <si>
    <t>% põhitegevuse tuludest</t>
  </si>
  <si>
    <t>Saadud sihtfinantseerimine põhivara soetuseks</t>
  </si>
  <si>
    <t>Antud sihtfinantseerimine põhivara soetuseks</t>
  </si>
  <si>
    <t>Investeerimistegevus kokku</t>
  </si>
  <si>
    <t>Ülejääk/puudujääk</t>
  </si>
  <si>
    <t>Võlakohustused kokku</t>
  </si>
  <si>
    <t>Raha ja pangakontod</t>
  </si>
  <si>
    <t>Likviidsed varad kokku</t>
  </si>
  <si>
    <t>Netovõlakoormus</t>
  </si>
  <si>
    <t>konto</t>
  </si>
  <si>
    <t>Maksutulud</t>
  </si>
  <si>
    <t>konto 323880 deebetsaldo</t>
  </si>
  <si>
    <t>Saadud tegevuskulude sihtfinantseerimine</t>
  </si>
  <si>
    <t>Saadud mittesihtotstarbeline finantseerimine</t>
  </si>
  <si>
    <t>Kasum/kahjum varude müügist</t>
  </si>
  <si>
    <t>Muud tulud varadelt</t>
  </si>
  <si>
    <t>Subsiidiumid ettevõtlusega tegelevate isikutele</t>
  </si>
  <si>
    <t>Antud sihtfinantseerimine tegevuskuludeks</t>
  </si>
  <si>
    <t>Antud mittesihtotstarbeline finantseerimine</t>
  </si>
  <si>
    <t xml:space="preserve">Tegevuskulud </t>
  </si>
  <si>
    <t>Sotsiaaltoetused</t>
  </si>
  <si>
    <t>kontoklassi 41 deebetsaldo</t>
  </si>
  <si>
    <t>kontoklassi 30 kreeditsaldo</t>
  </si>
  <si>
    <t>Kaupade ja teenuste müük </t>
  </si>
  <si>
    <t>kontoklassi 32 kreeditsaldo</t>
  </si>
  <si>
    <t>Liitumistasude amortisatsioon </t>
  </si>
  <si>
    <t>kontogrupi 3500 kreeditsaldo</t>
  </si>
  <si>
    <t>kontorühma 352 kreeditsaldo</t>
  </si>
  <si>
    <t>Saadud subsiidiumid </t>
  </si>
  <si>
    <t>kontorühma 354 kreeditsaldo</t>
  </si>
  <si>
    <t>kontogrupi 3818 kreeditsaldo</t>
  </si>
  <si>
    <t>kontorühma 382kreeditsaldo</t>
  </si>
  <si>
    <t>Muud tulud </t>
  </si>
  <si>
    <t>kontorühma 388 kreeditsaldo</t>
  </si>
  <si>
    <t>kontoklassi 40 deebetsaldo</t>
  </si>
  <si>
    <t>kontogrupi 4500 deebetsaldo</t>
  </si>
  <si>
    <t>kontorühma 452 deebetsaldo</t>
  </si>
  <si>
    <t>konto liigi 5 deebetsaldo</t>
  </si>
  <si>
    <t>Maksu-, lõivu-, trahvikulud </t>
  </si>
  <si>
    <t>kontorühma 601 deebetsaldo</t>
  </si>
  <si>
    <t>Käibemaks põhivara soetuselt </t>
  </si>
  <si>
    <t>konto 601002 kreeditsaldo</t>
  </si>
  <si>
    <t>Kulu ebatõenäoliselt laekuvatest nõuetest (v.a maksu-, lõivu-, trahvinõuded) </t>
  </si>
  <si>
    <t>kontorühma 605 deebetsaldo</t>
  </si>
  <si>
    <t>Muud tegevuskulud </t>
  </si>
  <si>
    <t>kontorühma 608 deebetsaldo</t>
  </si>
  <si>
    <t>Põhitegevuse tulud:</t>
  </si>
  <si>
    <t>kontorühma 208 kreeditsaldo</t>
  </si>
  <si>
    <t>kontode 913010 kuni 913090 deebetsaldodena ja kreeditsaldodena kajastatud saldoandmiku read</t>
  </si>
  <si>
    <t>Sihtfinantseerimise tagasimaksekohustused</t>
  </si>
  <si>
    <t>Toetuste andmise kohustused</t>
  </si>
  <si>
    <t>Eraldised</t>
  </si>
  <si>
    <t>Nõuded toetuste eest</t>
  </si>
  <si>
    <t>Toetuste ja siirete kohustused</t>
  </si>
  <si>
    <t>Muud toetuste tagasimaksekohustused</t>
  </si>
  <si>
    <t>kontorühma 256 kreeditsaldo;</t>
  </si>
  <si>
    <t>Laenukohustused </t>
  </si>
  <si>
    <t>Laenukohustuste pikaajaline osa </t>
  </si>
  <si>
    <t>Tähtajaks tasumata kohustused </t>
  </si>
  <si>
    <t>konto 203650 kreeditsaldo</t>
  </si>
  <si>
    <t>Kaasfinantseerimise tagasimaksekohustused </t>
  </si>
  <si>
    <t>konto 203655 kreeditsaldo</t>
  </si>
  <si>
    <t>Võlad tarnijatele </t>
  </si>
  <si>
    <t>kontorühma 250 kreeditsaldo</t>
  </si>
  <si>
    <t>Ajatatud maksu-, lõivu- ja trahvikohustused </t>
  </si>
  <si>
    <t>kontogrupi 2530 kreeditsaldo</t>
  </si>
  <si>
    <t>kontogrupi 2535 kreeditsaldo</t>
  </si>
  <si>
    <t>Muud pikaajalised kohustused </t>
  </si>
  <si>
    <t>kontogrupi 2536 kreeditsaldo;</t>
  </si>
  <si>
    <t>kontogrupi 1535 kreeditsaldo</t>
  </si>
  <si>
    <t>Üle ühe-aastase perioodiga mittekatkestatavad kasutusrendikohustused </t>
  </si>
  <si>
    <t>konto 913100 deebetsaldodena ja kreeditsaldodena kajastatud saldoandmiku read</t>
  </si>
  <si>
    <t>kontogrupi 2035 kreeditsaldo</t>
  </si>
  <si>
    <t xml:space="preserve">Toetusteks saadud ettemaksed </t>
  </si>
  <si>
    <t>kontogrupi 2038 kreeditsaldo</t>
  </si>
  <si>
    <t>konto 203670 kreeditsaldo</t>
  </si>
  <si>
    <t>Tähtajani hoitavad väärtpaberid</t>
  </si>
  <si>
    <r>
      <t>kontoklassi 100 </t>
    </r>
    <r>
      <rPr>
        <sz val="11"/>
        <color theme="1"/>
        <rFont val="Calibri"/>
        <family val="2"/>
        <charset val="186"/>
        <scheme val="minor"/>
      </rPr>
      <t>deebetsaldo</t>
    </r>
  </si>
  <si>
    <r>
      <t>konto 101100 </t>
    </r>
    <r>
      <rPr>
        <sz val="11"/>
        <color theme="1"/>
        <rFont val="Calibri"/>
        <family val="2"/>
        <charset val="186"/>
        <scheme val="minor"/>
      </rPr>
      <t>deebetsaldo</t>
    </r>
  </si>
  <si>
    <r>
      <t>konto 151100 </t>
    </r>
    <r>
      <rPr>
        <sz val="11"/>
        <color theme="1"/>
        <rFont val="Calibri"/>
        <family val="2"/>
        <charset val="186"/>
        <scheme val="minor"/>
      </rPr>
      <t>deebetsaldo</t>
    </r>
  </si>
  <si>
    <r>
      <t>konto 101120 </t>
    </r>
    <r>
      <rPr>
        <sz val="11"/>
        <color theme="1"/>
        <rFont val="Calibri"/>
        <family val="2"/>
        <charset val="186"/>
        <scheme val="minor"/>
      </rPr>
      <t>deebetsaldo</t>
    </r>
  </si>
  <si>
    <r>
      <t>konto 101130 </t>
    </r>
    <r>
      <rPr>
        <sz val="11"/>
        <color theme="1"/>
        <rFont val="Calibri"/>
        <family val="2"/>
        <charset val="186"/>
        <scheme val="minor"/>
      </rPr>
      <t>deebetsaldo</t>
    </r>
  </si>
  <si>
    <r>
      <t>kontogrupi 1012 </t>
    </r>
    <r>
      <rPr>
        <sz val="11"/>
        <color theme="1"/>
        <rFont val="Calibri"/>
        <family val="2"/>
        <charset val="186"/>
        <scheme val="minor"/>
      </rPr>
      <t>deebetsaldo</t>
    </r>
  </si>
  <si>
    <r>
      <t>konto 151120 </t>
    </r>
    <r>
      <rPr>
        <sz val="11"/>
        <color theme="1"/>
        <rFont val="Calibri"/>
        <family val="2"/>
        <charset val="186"/>
        <scheme val="minor"/>
      </rPr>
      <t>deebetsaldo</t>
    </r>
  </si>
  <si>
    <r>
      <t>kontogrupi 1512 </t>
    </r>
    <r>
      <rPr>
        <sz val="11"/>
        <color theme="1"/>
        <rFont val="Calibri"/>
        <family val="2"/>
        <charset val="186"/>
        <scheme val="minor"/>
      </rPr>
      <t>deebetsaldo</t>
    </r>
  </si>
  <si>
    <t>Osalused investeerimisfondides </t>
  </si>
  <si>
    <t>Lühiajalised võlakirjad </t>
  </si>
  <si>
    <t>Pikaajalised võlakirjad </t>
  </si>
  <si>
    <t>Võlakirjad ja muud võlainstrumendid </t>
  </si>
  <si>
    <t>Tähtajani hoitavad võlakirjad </t>
  </si>
  <si>
    <t>Võlakohustused:</t>
  </si>
  <si>
    <r>
      <t> 1) põhivara soetus – rahavoo koodiga 01 </t>
    </r>
    <r>
      <rPr>
        <i/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kontorühmade 154 </t>
    </r>
    <r>
      <rPr>
        <i/>
        <sz val="11"/>
        <color theme="1"/>
        <rFont val="Calibri"/>
        <family val="2"/>
        <charset val="186"/>
        <scheme val="minor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theme="1"/>
        <rFont val="Calibri"/>
        <family val="2"/>
        <charset val="186"/>
        <scheme val="minor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theme="1"/>
        <rFont val="Calibri"/>
        <family val="2"/>
        <charset val="186"/>
        <scheme val="minor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theme="1"/>
        <rFont val="Calibri"/>
        <family val="2"/>
        <charset val="186"/>
        <scheme val="minor"/>
      </rPr>
      <t>Bioloogilised varad</t>
    </r>
    <r>
      <rPr>
        <sz val="11"/>
        <color theme="1"/>
        <rFont val="Calibri"/>
        <family val="2"/>
        <charset val="186"/>
        <scheme val="minor"/>
      </rPr>
      <t> deebetsaldode summad miinusega ja konto 601002 </t>
    </r>
    <r>
      <rPr>
        <i/>
        <sz val="11"/>
        <color theme="1"/>
        <rFont val="Calibri"/>
        <family val="2"/>
        <charset val="186"/>
        <scheme val="minor"/>
      </rPr>
      <t>Käibemaks põhivara soetuselt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</si>
  <si>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t> 2) põhivara müük – kontogruppide 3810 </t>
    </r>
    <r>
      <rPr>
        <i/>
        <sz val="11"/>
        <color theme="1"/>
        <rFont val="Calibri"/>
        <family val="2"/>
        <charset val="186"/>
        <scheme val="minor"/>
      </rPr>
      <t>Kasum/kahjum kinnisvarainvesteeringute müügist</t>
    </r>
    <r>
      <rPr>
        <sz val="11"/>
        <color theme="1"/>
        <rFont val="Calibri"/>
        <family val="2"/>
        <charset val="186"/>
        <scheme val="minor"/>
      </rPr>
      <t>, 3811 </t>
    </r>
    <r>
      <rPr>
        <i/>
        <sz val="11"/>
        <color theme="1"/>
        <rFont val="Calibri"/>
        <family val="2"/>
        <charset val="186"/>
        <scheme val="minor"/>
      </rPr>
      <t>Kasum/kahjum materiaalse põhivara müügist</t>
    </r>
    <r>
      <rPr>
        <sz val="11"/>
        <color theme="1"/>
        <rFont val="Calibri"/>
        <family val="2"/>
        <charset val="186"/>
        <scheme val="minor"/>
      </rPr>
      <t>, 3813 </t>
    </r>
    <r>
      <rPr>
        <i/>
        <sz val="11"/>
        <color theme="1"/>
        <rFont val="Calibri"/>
        <family val="2"/>
        <charset val="186"/>
        <scheme val="minor"/>
      </rPr>
      <t>Kasum/kahjum immateriaalse põhivara müügist</t>
    </r>
    <r>
      <rPr>
        <sz val="11"/>
        <color theme="1"/>
        <rFont val="Calibri"/>
        <family val="2"/>
        <charset val="186"/>
        <scheme val="minor"/>
      </rPr>
      <t> ja 3814 </t>
    </r>
    <r>
      <rPr>
        <i/>
        <sz val="11"/>
        <color theme="1"/>
        <rFont val="Calibri"/>
        <family val="2"/>
        <charset val="186"/>
        <scheme val="minor"/>
      </rPr>
      <t>Kasum/kahjum bioloogiliste varade müügist</t>
    </r>
    <r>
      <rPr>
        <sz val="11"/>
        <color theme="1"/>
        <rFont val="Calibri"/>
        <family val="2"/>
        <charset val="186"/>
        <scheme val="minor"/>
      </rPr>
      <t> kreeditsaldode summa ja rahavoo koodiga 02 </t>
    </r>
    <r>
      <rPr>
        <i/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kontorühmade 109 </t>
    </r>
    <r>
      <rPr>
        <i/>
        <sz val="11"/>
        <color theme="1"/>
        <rFont val="Calibri"/>
        <family val="2"/>
        <charset val="186"/>
        <scheme val="minor"/>
      </rPr>
      <t>Müügiootel põhivara</t>
    </r>
    <r>
      <rPr>
        <sz val="11"/>
        <color theme="1"/>
        <rFont val="Calibri"/>
        <family val="2"/>
        <charset val="186"/>
        <scheme val="minor"/>
      </rPr>
      <t>, 154 </t>
    </r>
    <r>
      <rPr>
        <i/>
        <sz val="11"/>
        <color theme="1"/>
        <rFont val="Calibri"/>
        <family val="2"/>
        <charset val="186"/>
        <scheme val="minor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theme="1"/>
        <rFont val="Calibri"/>
        <family val="2"/>
        <charset val="186"/>
        <scheme val="minor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theme="1"/>
        <rFont val="Calibri"/>
        <family val="2"/>
        <charset val="186"/>
        <scheme val="minor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theme="1"/>
        <rFont val="Calibri"/>
        <family val="2"/>
        <charset val="186"/>
        <scheme val="minor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</si>
  <si>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3) saadud sihtfinantseerimine põhivara soetuseks – rahavoo koodidega 01 </t>
    </r>
    <r>
      <rPr>
        <i/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ja 05 </t>
    </r>
    <r>
      <rPr>
        <i/>
        <sz val="11"/>
        <color theme="1"/>
        <rFont val="Calibri"/>
        <family val="2"/>
        <charset val="186"/>
        <scheme val="minor"/>
      </rPr>
      <t>Kohustuste soetus (raha laekumine)</t>
    </r>
    <r>
      <rPr>
        <sz val="11"/>
        <color theme="1"/>
        <rFont val="Calibri"/>
        <family val="2"/>
        <charset val="186"/>
        <scheme val="minor"/>
      </rPr>
      <t> kajastatud kontogrupi 3502 </t>
    </r>
    <r>
      <rPr>
        <i/>
        <sz val="11"/>
        <color theme="1"/>
        <rFont val="Calibri"/>
        <family val="2"/>
        <charset val="186"/>
        <scheme val="minor"/>
      </rPr>
      <t>Saadud sihtfinantseerimine põhivara soetuseks</t>
    </r>
    <r>
      <rPr>
        <sz val="11"/>
        <color theme="1"/>
        <rFont val="Calibri"/>
        <family val="2"/>
        <charset val="186"/>
        <scheme val="minor"/>
      </rPr>
      <t> kreeditsaldo ning samade rahavoo koodidega 01 ja 05 kajastatud kontorühma 257 </t>
    </r>
    <r>
      <rPr>
        <i/>
        <sz val="11"/>
        <color theme="1"/>
        <rFont val="Calibri"/>
        <family val="2"/>
        <charset val="186"/>
        <scheme val="minor"/>
      </rPr>
      <t>Sihtfinantseerimine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</si>
  <si>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4) antud sihtfinantseerimine põhivara soetuseks – kontogrupi 4502 </t>
    </r>
    <r>
      <rPr>
        <i/>
        <sz val="11"/>
        <color theme="1"/>
        <rFont val="Calibri"/>
        <family val="2"/>
        <charset val="186"/>
        <scheme val="minor"/>
      </rPr>
      <t>Antud sihtfinantseerimine põhivara soetuseks</t>
    </r>
    <r>
      <rPr>
        <sz val="11"/>
        <color theme="1"/>
        <rFont val="Calibri"/>
        <family val="2"/>
        <charset val="186"/>
        <scheme val="minor"/>
      </rPr>
      <t> deebetsaldo miinusega ning rahavoo koodiga 24 </t>
    </r>
    <r>
      <rPr>
        <i/>
        <sz val="11"/>
        <color theme="1"/>
        <rFont val="Calibri"/>
        <family val="2"/>
        <charset val="186"/>
        <scheme val="minor"/>
      </rPr>
      <t>Mitterahaline sihtfinantseerimine (üleandmine)</t>
    </r>
    <r>
      <rPr>
        <sz val="11"/>
        <color theme="1"/>
        <rFont val="Calibri"/>
        <family val="2"/>
        <charset val="186"/>
        <scheme val="minor"/>
      </rPr>
      <t> kajastatud kontorühmade 154 </t>
    </r>
    <r>
      <rPr>
        <i/>
        <sz val="11"/>
        <color theme="1"/>
        <rFont val="Calibri"/>
        <family val="2"/>
        <charset val="186"/>
        <scheme val="minor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theme="1"/>
        <rFont val="Calibri"/>
        <family val="2"/>
        <charset val="186"/>
        <scheme val="minor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theme="1"/>
        <rFont val="Calibri"/>
        <family val="2"/>
        <charset val="186"/>
        <scheme val="minor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theme="1"/>
        <rFont val="Calibri"/>
        <family val="2"/>
        <charset val="186"/>
        <scheme val="minor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</si>
  <si>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5) saadud liitumistasud – rahavoo koodiga 01 </t>
    </r>
    <r>
      <rPr>
        <i/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 253800 </t>
    </r>
    <r>
      <rPr>
        <i/>
        <sz val="11"/>
        <color theme="1"/>
        <rFont val="Calibri"/>
        <family val="2"/>
        <charset val="186"/>
        <scheme val="minor"/>
      </rPr>
      <t>Liitumistasude amortiseerimata jääk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</si>
  <si>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6) osaluste soetus – rahavoo koodiga 01 </t>
    </r>
    <r>
      <rPr>
        <i/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kontorühma 150 </t>
    </r>
    <r>
      <rPr>
        <i/>
        <sz val="11"/>
        <color theme="1"/>
        <rFont val="Calibri"/>
        <family val="2"/>
        <charset val="186"/>
        <scheme val="minor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deebetsaldo miinusega;</t>
    </r>
  </si>
  <si>
    <r>
      <t> 7) osaluste müük – rahavoo koodiga 02 </t>
    </r>
    <r>
      <rPr>
        <i/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kontorühma 150 </t>
    </r>
    <r>
      <rPr>
        <i/>
        <sz val="11"/>
        <color theme="1"/>
        <rFont val="Calibri"/>
        <family val="2"/>
        <charset val="186"/>
        <scheme val="minor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</si>
  <si>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8) muude aktsiate ja osade soetus – rahavoo koodiga 01 </t>
    </r>
    <r>
      <rPr>
        <i/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kontode 101900 </t>
    </r>
    <r>
      <rPr>
        <i/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</t>
    </r>
    <r>
      <rPr>
        <i/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</si>
  <si>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t> 9) muude aktsiate ja osade müük – rahavoo koodiga 02 </t>
    </r>
    <r>
      <rPr>
        <i/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kontode 101900 </t>
    </r>
    <r>
      <rPr>
        <i/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</t>
    </r>
    <r>
      <rPr>
        <i/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</si>
  <si>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10) antud laenud – rahavoo koodiga 01 </t>
    </r>
    <r>
      <rPr>
        <i/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kontogruppide 1032 </t>
    </r>
    <r>
      <rPr>
        <i/>
        <sz val="11"/>
        <color theme="1"/>
        <rFont val="Calibri"/>
        <family val="2"/>
        <charset val="186"/>
        <scheme val="minor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</t>
    </r>
    <r>
      <rPr>
        <i/>
        <sz val="11"/>
        <color theme="1"/>
        <rFont val="Calibri"/>
        <family val="2"/>
        <charset val="186"/>
        <scheme val="minor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</si>
  <si>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t> 11) tagasilaekunud laenud – rahavoo koodiga 02 </t>
    </r>
    <r>
      <rPr>
        <i/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kontogruppide 1032 </t>
    </r>
    <r>
      <rPr>
        <i/>
        <sz val="11"/>
        <color theme="1"/>
        <rFont val="Calibri"/>
        <family val="2"/>
        <charset val="186"/>
        <scheme val="minor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</t>
    </r>
    <r>
      <rPr>
        <i/>
        <sz val="11"/>
        <color theme="1"/>
        <rFont val="Calibri"/>
        <family val="2"/>
        <charset val="186"/>
        <scheme val="minor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</si>
  <si>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12) finantstulud ja finantskulud – kontoklassi 65 välja arvatud kontod 652000, 652030 ja 655400, </t>
    </r>
    <r>
      <rPr>
        <i/>
        <sz val="11"/>
        <color theme="1"/>
        <rFont val="Calibri"/>
        <family val="2"/>
        <charset val="186"/>
        <scheme val="minor"/>
      </rPr>
      <t>Finantstulud ja -kulud</t>
    </r>
    <r>
      <rPr>
        <sz val="11"/>
        <color theme="1"/>
        <rFont val="Calibri"/>
        <family val="2"/>
        <charset val="186"/>
        <scheme val="minor"/>
      </rPr>
      <t> kreeditsaldo plussiga;</t>
    </r>
  </si>
  <si>
    <r>
      <t> 13) ettevõtja tulumaks – kontoklassi 68 </t>
    </r>
    <r>
      <rPr>
        <i/>
        <sz val="11"/>
        <color theme="1"/>
        <rFont val="Calibri"/>
        <family val="2"/>
        <charset val="186"/>
        <scheme val="minor"/>
      </rPr>
      <t>Ettevõtja tulumaks</t>
    </r>
    <r>
      <rPr>
        <sz val="11"/>
        <color theme="1"/>
        <rFont val="Calibri"/>
        <family val="2"/>
        <charset val="186"/>
        <scheme val="minor"/>
      </rPr>
      <t> deebetsaldo miinusega.</t>
    </r>
  </si>
  <si>
    <r>
      <t>Põhivara soetus</t>
    </r>
    <r>
      <rPr>
        <sz val="11"/>
        <color theme="1"/>
        <rFont val="Calibri"/>
        <family val="2"/>
        <charset val="186"/>
        <scheme val="minor"/>
      </rPr>
      <t/>
    </r>
  </si>
  <si>
    <t xml:space="preserve">Osaluste soetus </t>
  </si>
  <si>
    <t>Muude aktsiate ja osade soetus</t>
  </si>
  <si>
    <t xml:space="preserve">Antud laenud </t>
  </si>
  <si>
    <t xml:space="preserve">Finantstulud ja finantskulud </t>
  </si>
  <si>
    <t xml:space="preserve">Ettevõtja tulumaks </t>
  </si>
  <si>
    <t>Tegevuskulud kokku</t>
  </si>
  <si>
    <t>Tegevustulud kokku</t>
  </si>
  <si>
    <t>kontoklassid 32 ja 33</t>
  </si>
  <si>
    <t>konto liik 3</t>
  </si>
  <si>
    <t>kontoklass 35</t>
  </si>
  <si>
    <t>konto liik 4</t>
  </si>
  <si>
    <t>Antud toetused kokku</t>
  </si>
  <si>
    <t>kontoklass 61</t>
  </si>
  <si>
    <t>Käibevara</t>
  </si>
  <si>
    <t>Põhivara</t>
  </si>
  <si>
    <t>Varad kokku</t>
  </si>
  <si>
    <t xml:space="preserve">kontoklass 20 </t>
  </si>
  <si>
    <t>Lühiajalised kohustused</t>
  </si>
  <si>
    <t>kontoklass 10</t>
  </si>
  <si>
    <t>kontoklass 15</t>
  </si>
  <si>
    <t>kontoklass 1</t>
  </si>
  <si>
    <t>kontorühma 258 kreeditsaldo</t>
  </si>
  <si>
    <t>Tulem</t>
  </si>
  <si>
    <t>Netovara</t>
  </si>
  <si>
    <t>Tegevustulud:</t>
  </si>
  <si>
    <t>Tegevuskulud</t>
  </si>
  <si>
    <t>konto liik 5</t>
  </si>
  <si>
    <t>konto liik 6</t>
  </si>
  <si>
    <t>Muud tegevuskulud</t>
  </si>
  <si>
    <t>4 + 5 + 6</t>
  </si>
  <si>
    <t>sh põhivara amortisatsioon ja ümberhindlus</t>
  </si>
  <si>
    <t>Halli värvi lahtreid kasutatakse sihtasutuste ja äriühingute finantseesmärkide kajastamiseks vastavalt riigivara seadusele</t>
  </si>
  <si>
    <t>Finantsplaan</t>
  </si>
  <si>
    <t>konto 3 + 4 + 5 + 6</t>
  </si>
  <si>
    <t>Põhivara müük</t>
  </si>
  <si>
    <t>Saadud liitumistasud</t>
  </si>
  <si>
    <t>Osaluste müük</t>
  </si>
  <si>
    <t>Muude aktsiate ja osade müük</t>
  </si>
  <si>
    <t>Tagasilaekunud laenud</t>
  </si>
  <si>
    <t>sh müügitulu</t>
  </si>
  <si>
    <t>sh saadud toetused</t>
  </si>
  <si>
    <t>Põhitegevuse kulud*:</t>
  </si>
  <si>
    <t>Tegevuskulud*:</t>
  </si>
  <si>
    <t>Investeerimistegevus**:</t>
  </si>
  <si>
    <t>Likviidsed varad*:</t>
  </si>
  <si>
    <t>**Investeerimistegevuse kogusumma leidmisel liidetakse:</t>
  </si>
  <si>
    <t>*Kulud ja likviidsed varad tuleb märkida "-" märgiga</t>
  </si>
  <si>
    <t>sh tööjõukulud</t>
  </si>
  <si>
    <t>kontoklassi 50 deebetsaldo</t>
  </si>
  <si>
    <t>nimetus</t>
  </si>
  <si>
    <t>Kontaktisik küsimuste puhul (nimi, tel, e-post):</t>
  </si>
  <si>
    <t>Keskvalitsuse üksusena määratletud juriidilise isiku nimetus:</t>
  </si>
  <si>
    <t>Eesti Laulu-ja Tantsupeo SA</t>
  </si>
  <si>
    <t>ELT SA pearaamatupidaja</t>
  </si>
  <si>
    <t>Anne Kuusemets</t>
  </si>
  <si>
    <t>6273126  e-mail: anne.kuusemets@laulupidu.ee</t>
  </si>
  <si>
    <t>Lisa 1</t>
  </si>
  <si>
    <t>tammsaare@albu.ee</t>
  </si>
  <si>
    <t>Reelika Räim</t>
  </si>
  <si>
    <t>SA A.H.Tammsaare Muuseum Vargamäel</t>
  </si>
  <si>
    <t>meelike.aav@draamateater.ee</t>
  </si>
  <si>
    <t>Meelike Aav</t>
  </si>
  <si>
    <r>
      <t> 13) ettevõtja tulumaks – kontoklassi 68 </t>
    </r>
    <r>
      <rPr>
        <i/>
        <sz val="11"/>
        <color rgb="FF000000"/>
        <rFont val="Calibri"/>
        <family val="2"/>
        <charset val="186"/>
      </rPr>
      <t>Ettevõtja tulumaks</t>
    </r>
    <r>
      <rPr>
        <sz val="11"/>
        <color theme="1"/>
        <rFont val="Calibri"/>
        <family val="2"/>
        <charset val="186"/>
        <scheme val="minor"/>
      </rPr>
      <t> deebetsaldo miinusega.</t>
    </r>
  </si>
  <si>
    <r>
      <t> 12) finantstulud ja finantskulud – kontoklassi 65 välja arvatud kontod 652000, 652030 ja 655400, </t>
    </r>
    <r>
      <rPr>
        <i/>
        <sz val="11"/>
        <color rgb="FF000000"/>
        <rFont val="Calibri"/>
        <family val="2"/>
        <charset val="186"/>
      </rPr>
      <t>Finantstulud ja -kulud</t>
    </r>
    <r>
      <rPr>
        <sz val="11"/>
        <color theme="1"/>
        <rFont val="Calibri"/>
        <family val="2"/>
        <charset val="186"/>
        <scheme val="minor"/>
      </rPr>
      <t> kreeditsaldo plussiga;</t>
    </r>
  </si>
  <si>
    <r>
      <t> 11) tagasilaekunud laenud – rahavoo koodiga 02 </t>
    </r>
    <r>
      <rPr>
        <i/>
        <sz val="11"/>
        <color rgb="FF000000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kontogruppide 1032 </t>
    </r>
    <r>
      <rPr>
        <i/>
        <sz val="11"/>
        <color rgb="FF000000"/>
        <rFont val="Calibri"/>
        <family val="2"/>
        <charset val="186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</t>
    </r>
    <r>
      <rPr>
        <i/>
        <sz val="11"/>
        <color rgb="FF000000"/>
        <rFont val="Calibri"/>
        <family val="2"/>
        <charset val="186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</si>
  <si>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10) antud laenud – rahavoo koodiga 01 </t>
    </r>
    <r>
      <rPr>
        <i/>
        <sz val="11"/>
        <color rgb="FF000000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kontogruppide 1032 </t>
    </r>
    <r>
      <rPr>
        <i/>
        <sz val="11"/>
        <color rgb="FF000000"/>
        <rFont val="Calibri"/>
        <family val="2"/>
        <charset val="186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</t>
    </r>
    <r>
      <rPr>
        <i/>
        <sz val="11"/>
        <color rgb="FF000000"/>
        <rFont val="Calibri"/>
        <family val="2"/>
        <charset val="186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</si>
  <si>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t> 9) muude aktsiate ja osade müük – rahavoo koodiga 02 </t>
    </r>
    <r>
      <rPr>
        <i/>
        <sz val="11"/>
        <color rgb="FF000000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kontode 101900 </t>
    </r>
    <r>
      <rPr>
        <i/>
        <sz val="11"/>
        <color rgb="FF000000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</t>
    </r>
    <r>
      <rPr>
        <i/>
        <sz val="11"/>
        <color rgb="FF000000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</si>
  <si>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8) muude aktsiate ja osade soetus – rahavoo koodiga 01 </t>
    </r>
    <r>
      <rPr>
        <i/>
        <sz val="11"/>
        <color rgb="FF000000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kontode 101900 </t>
    </r>
    <r>
      <rPr>
        <i/>
        <sz val="11"/>
        <color rgb="FF000000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</t>
    </r>
    <r>
      <rPr>
        <i/>
        <sz val="11"/>
        <color rgb="FF000000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</si>
  <si>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t> 7) osaluste müük – rahavoo koodiga 02 </t>
    </r>
    <r>
      <rPr>
        <i/>
        <sz val="11"/>
        <color rgb="FF000000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kontorühma 150 </t>
    </r>
    <r>
      <rPr>
        <i/>
        <sz val="11"/>
        <color rgb="FF000000"/>
        <rFont val="Calibri"/>
        <family val="2"/>
        <charset val="186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</si>
  <si>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6) osaluste soetus – rahavoo koodiga 01 </t>
    </r>
    <r>
      <rPr>
        <i/>
        <sz val="11"/>
        <color rgb="FF000000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kontorühma 150 </t>
    </r>
    <r>
      <rPr>
        <i/>
        <sz val="11"/>
        <color rgb="FF000000"/>
        <rFont val="Calibri"/>
        <family val="2"/>
        <charset val="186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deebetsaldo miinusega;</t>
    </r>
  </si>
  <si>
    <r>
      <t> 5) saadud liitumistasud – rahavoo koodiga 01 </t>
    </r>
    <r>
      <rPr>
        <i/>
        <sz val="11"/>
        <color rgb="FF000000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 253800 </t>
    </r>
    <r>
      <rPr>
        <i/>
        <sz val="11"/>
        <color rgb="FF000000"/>
        <rFont val="Calibri"/>
        <family val="2"/>
        <charset val="186"/>
      </rPr>
      <t>Liitumistasude amortiseerimata jääk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</si>
  <si>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4) antud sihtfinantseerimine põhivara soetuseks – kontogrupi 4502 </t>
    </r>
    <r>
      <rPr>
        <i/>
        <sz val="11"/>
        <color rgb="FF000000"/>
        <rFont val="Calibri"/>
        <family val="2"/>
        <charset val="186"/>
      </rPr>
      <t>Antud sihtfinantseerimine põhivara soetuseks</t>
    </r>
    <r>
      <rPr>
        <sz val="11"/>
        <color theme="1"/>
        <rFont val="Calibri"/>
        <family val="2"/>
        <charset val="186"/>
        <scheme val="minor"/>
      </rPr>
      <t> deebetsaldo miinusega ning rahavoo koodiga 24 </t>
    </r>
    <r>
      <rPr>
        <i/>
        <sz val="11"/>
        <color rgb="FF000000"/>
        <rFont val="Calibri"/>
        <family val="2"/>
        <charset val="186"/>
      </rPr>
      <t>Mitterahaline sihtfinantseerimine (üleandmine)</t>
    </r>
    <r>
      <rPr>
        <sz val="11"/>
        <color theme="1"/>
        <rFont val="Calibri"/>
        <family val="2"/>
        <charset val="186"/>
        <scheme val="minor"/>
      </rPr>
      <t> kajastatud kontorühmade 154 </t>
    </r>
    <r>
      <rPr>
        <i/>
        <sz val="11"/>
        <color rgb="FF000000"/>
        <rFont val="Calibri"/>
        <family val="2"/>
        <charset val="186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rgb="FF000000"/>
        <rFont val="Calibri"/>
        <family val="2"/>
        <charset val="186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rgb="FF000000"/>
        <rFont val="Calibri"/>
        <family val="2"/>
        <charset val="186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rgb="FF000000"/>
        <rFont val="Calibri"/>
        <family val="2"/>
        <charset val="186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</si>
  <si>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3) saadud sihtfinantseerimine põhivara soetuseks – rahavoo koodidega 01 </t>
    </r>
    <r>
      <rPr>
        <i/>
        <sz val="11"/>
        <color rgb="FF000000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ja 05 </t>
    </r>
    <r>
      <rPr>
        <i/>
        <sz val="11"/>
        <color rgb="FF000000"/>
        <rFont val="Calibri"/>
        <family val="2"/>
        <charset val="186"/>
      </rPr>
      <t>Kohustuste soetus (raha laekumine)</t>
    </r>
    <r>
      <rPr>
        <sz val="11"/>
        <color theme="1"/>
        <rFont val="Calibri"/>
        <family val="2"/>
        <charset val="186"/>
        <scheme val="minor"/>
      </rPr>
      <t> kajastatud kontogrupi 3502 </t>
    </r>
    <r>
      <rPr>
        <i/>
        <sz val="11"/>
        <color rgb="FF000000"/>
        <rFont val="Calibri"/>
        <family val="2"/>
        <charset val="186"/>
      </rPr>
      <t>Saadud sihtfinantseerimine põhivara soetuseks</t>
    </r>
    <r>
      <rPr>
        <sz val="11"/>
        <color theme="1"/>
        <rFont val="Calibri"/>
        <family val="2"/>
        <charset val="186"/>
        <scheme val="minor"/>
      </rPr>
      <t> kreeditsaldo ning samade rahavoo koodidega 01 ja 05 kajastatud kontorühma 257 </t>
    </r>
    <r>
      <rPr>
        <i/>
        <sz val="11"/>
        <color rgb="FF000000"/>
        <rFont val="Calibri"/>
        <family val="2"/>
        <charset val="186"/>
      </rPr>
      <t>Sihtfinantseerimine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</si>
  <si>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2) põhivara müük – kontogruppide 3810 </t>
    </r>
    <r>
      <rPr>
        <i/>
        <sz val="11"/>
        <color rgb="FF000000"/>
        <rFont val="Calibri"/>
        <family val="2"/>
        <charset val="186"/>
      </rPr>
      <t>Kasum/kahjum kinnisvarainvesteeringute müügist</t>
    </r>
    <r>
      <rPr>
        <sz val="11"/>
        <color theme="1"/>
        <rFont val="Calibri"/>
        <family val="2"/>
        <charset val="186"/>
        <scheme val="minor"/>
      </rPr>
      <t>, 3811 </t>
    </r>
    <r>
      <rPr>
        <i/>
        <sz val="11"/>
        <color rgb="FF000000"/>
        <rFont val="Calibri"/>
        <family val="2"/>
        <charset val="186"/>
      </rPr>
      <t>Kasum/kahjum materiaalse põhivara müügist</t>
    </r>
    <r>
      <rPr>
        <sz val="11"/>
        <color theme="1"/>
        <rFont val="Calibri"/>
        <family val="2"/>
        <charset val="186"/>
        <scheme val="minor"/>
      </rPr>
      <t>, 3813 </t>
    </r>
    <r>
      <rPr>
        <i/>
        <sz val="11"/>
        <color rgb="FF000000"/>
        <rFont val="Calibri"/>
        <family val="2"/>
        <charset val="186"/>
      </rPr>
      <t>Kasum/kahjum immateriaalse põhivara müügist</t>
    </r>
    <r>
      <rPr>
        <sz val="11"/>
        <color theme="1"/>
        <rFont val="Calibri"/>
        <family val="2"/>
        <charset val="186"/>
        <scheme val="minor"/>
      </rPr>
      <t> ja 3814 </t>
    </r>
    <r>
      <rPr>
        <i/>
        <sz val="11"/>
        <color rgb="FF000000"/>
        <rFont val="Calibri"/>
        <family val="2"/>
        <charset val="186"/>
      </rPr>
      <t>Kasum/kahjum bioloogiliste varade müügist</t>
    </r>
    <r>
      <rPr>
        <sz val="11"/>
        <color theme="1"/>
        <rFont val="Calibri"/>
        <family val="2"/>
        <charset val="186"/>
        <scheme val="minor"/>
      </rPr>
      <t> kreeditsaldode summa ja rahavoo koodiga 02 </t>
    </r>
    <r>
      <rPr>
        <i/>
        <sz val="11"/>
        <color rgb="FF000000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kontorühmade 109 </t>
    </r>
    <r>
      <rPr>
        <i/>
        <sz val="11"/>
        <color rgb="FF000000"/>
        <rFont val="Calibri"/>
        <family val="2"/>
        <charset val="186"/>
      </rPr>
      <t>Müügiootel põhivara</t>
    </r>
    <r>
      <rPr>
        <sz val="11"/>
        <color theme="1"/>
        <rFont val="Calibri"/>
        <family val="2"/>
        <charset val="186"/>
        <scheme val="minor"/>
      </rPr>
      <t>, 154 </t>
    </r>
    <r>
      <rPr>
        <i/>
        <sz val="11"/>
        <color rgb="FF000000"/>
        <rFont val="Calibri"/>
        <family val="2"/>
        <charset val="186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rgb="FF000000"/>
        <rFont val="Calibri"/>
        <family val="2"/>
        <charset val="186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rgb="FF000000"/>
        <rFont val="Calibri"/>
        <family val="2"/>
        <charset val="186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rgb="FF000000"/>
        <rFont val="Calibri"/>
        <family val="2"/>
        <charset val="186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</si>
  <si>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1) põhivara soetus – rahavoo koodiga 01 </t>
    </r>
    <r>
      <rPr>
        <i/>
        <sz val="11"/>
        <color rgb="FF000000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kontorühmade 154 </t>
    </r>
    <r>
      <rPr>
        <i/>
        <sz val="11"/>
        <color rgb="FF000000"/>
        <rFont val="Calibri"/>
        <family val="2"/>
        <charset val="186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rgb="FF000000"/>
        <rFont val="Calibri"/>
        <family val="2"/>
        <charset val="186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rgb="FF000000"/>
        <rFont val="Calibri"/>
        <family val="2"/>
        <charset val="186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rgb="FF000000"/>
        <rFont val="Calibri"/>
        <family val="2"/>
        <charset val="186"/>
      </rPr>
      <t>Bioloogilised varad</t>
    </r>
    <r>
      <rPr>
        <sz val="11"/>
        <color theme="1"/>
        <rFont val="Calibri"/>
        <family val="2"/>
        <charset val="186"/>
        <scheme val="minor"/>
      </rPr>
      <t> deebetsaldode summad miinusega ja konto 601002 </t>
    </r>
    <r>
      <rPr>
        <i/>
        <sz val="11"/>
        <color rgb="FF000000"/>
        <rFont val="Calibri"/>
        <family val="2"/>
        <charset val="186"/>
      </rPr>
      <t>Käibemaks põhivara soetuselt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</si>
  <si>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t>kontogrupi 1512 deebetsaldo</t>
  </si>
  <si>
    <t>konto 151120 deebetsaldo</t>
  </si>
  <si>
    <t>kontogrupi 1012 deebetsaldo</t>
  </si>
  <si>
    <t>konto 101130 deebetsaldo</t>
  </si>
  <si>
    <t>konto 101120 deebetsaldo</t>
  </si>
  <si>
    <t>konto 151100 deebetsaldo</t>
  </si>
  <si>
    <t>konto 101100 deebetsaldo</t>
  </si>
  <si>
    <t>kontoklassi 100 deebetsaldo</t>
  </si>
  <si>
    <t>kontoklass 20</t>
  </si>
  <si>
    <t>Toetusteks saadud ettemaksed</t>
  </si>
  <si>
    <t>Ettevõtja tulumaks</t>
  </si>
  <si>
    <t>Finantstulud ja finantskulud</t>
  </si>
  <si>
    <t>Antud laenud</t>
  </si>
  <si>
    <t>Osaluste soetus</t>
  </si>
  <si>
    <t>Põhivara soetus</t>
  </si>
  <si>
    <t>2015 tegelik</t>
  </si>
  <si>
    <t>SA Eesti Draamateater</t>
  </si>
  <si>
    <t>Janika Hiis, +37253477444, janika@epcc.ee</t>
  </si>
  <si>
    <t>SA Eesti Filharmoonia Kammerkoor</t>
  </si>
  <si>
    <t xml:space="preserve"> Marge Sammal, 627 6066, marge@filmi.ee</t>
  </si>
  <si>
    <t>SA Eesti Filmi Instituut</t>
  </si>
  <si>
    <t>SA Eesti Kontsert</t>
  </si>
  <si>
    <t>Kontaktisik küsimuste puhul (nimi, tel, e-post): Ülle Vassar, 50 84 383, Ylle.Vassar@erso.ee</t>
  </si>
  <si>
    <t xml:space="preserve">SA Eesti Riiklik Sümfooniaorkester </t>
  </si>
  <si>
    <t>Meelika Burket, 5097352, meelika@evm.ee</t>
  </si>
  <si>
    <t>SA Eesti Vabaõhumuuseum</t>
  </si>
  <si>
    <t>SA Endla Teater</t>
  </si>
  <si>
    <t>Elo Siigur</t>
  </si>
  <si>
    <t xml:space="preserve">44 20 653, elo@endla.ee </t>
  </si>
  <si>
    <t>Haapsalu ja Läänemaa Muuseumid SA</t>
  </si>
  <si>
    <t>Tel.5279985</t>
  </si>
  <si>
    <t>elle.poitel@muuseum.hiiumaa.ee</t>
  </si>
  <si>
    <t>Elle Põitel</t>
  </si>
  <si>
    <r>
      <t> 13) ettevõtja tulumaks – kontoklassi 68 </t>
    </r>
    <r>
      <rPr>
        <i/>
        <sz val="11"/>
        <color indexed="8"/>
        <rFont val="Calibri"/>
        <family val="2"/>
        <charset val="186"/>
      </rPr>
      <t>Ettevõtja tulumaks</t>
    </r>
    <r>
      <rPr>
        <sz val="11"/>
        <color indexed="8"/>
        <rFont val="Calibri"/>
        <family val="2"/>
        <charset val="186"/>
      </rPr>
      <t> deebetsaldo miinusega.</t>
    </r>
  </si>
  <si>
    <r>
      <t> 12) finantstulud ja finantskulud – kontoklassi 65 välja arvatud kontod 652000, 652030 ja 655400, </t>
    </r>
    <r>
      <rPr>
        <i/>
        <sz val="11"/>
        <color indexed="8"/>
        <rFont val="Calibri"/>
        <family val="2"/>
        <charset val="186"/>
      </rPr>
      <t>Finantstulud ja -kulud</t>
    </r>
    <r>
      <rPr>
        <sz val="11"/>
        <color indexed="8"/>
        <rFont val="Calibri"/>
        <family val="2"/>
        <charset val="186"/>
      </rPr>
      <t> kreeditsaldo plussiga;</t>
    </r>
  </si>
  <si>
    <r>
      <t> 11) tagasilaekunud laenud – rahavoo koodiga 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indexed="8"/>
        <rFont val="Calibri"/>
        <family val="2"/>
        <charset val="186"/>
      </rPr>
      <t> kajastatud kontogruppide 1032 </t>
    </r>
    <r>
      <rPr>
        <i/>
        <sz val="11"/>
        <color indexed="8"/>
        <rFont val="Calibri"/>
        <family val="2"/>
        <charset val="186"/>
      </rPr>
      <t>Laenu- ja liisingnõuded</t>
    </r>
    <r>
      <rPr>
        <sz val="11"/>
        <color indexed="8"/>
        <rFont val="Calibri"/>
        <family val="2"/>
        <charset val="186"/>
      </rPr>
      <t> ja 1532 </t>
    </r>
    <r>
      <rPr>
        <i/>
        <sz val="11"/>
        <color indexed="8"/>
        <rFont val="Calibri"/>
        <family val="2"/>
        <charset val="186"/>
      </rPr>
      <t>Laenu- ja liisingnõuete pikaajaline osa</t>
    </r>
    <r>
      <rPr>
        <sz val="11"/>
        <color indexed="8"/>
        <rFont val="Calibri"/>
        <family val="2"/>
        <charset val="186"/>
      </rPr>
      <t> kreeditsaldode summa;</t>
    </r>
  </si>
  <si>
    <r>
      <t> 10) antud laenud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indexed="8"/>
        <rFont val="Calibri"/>
        <family val="2"/>
        <charset val="186"/>
      </rPr>
      <t> kajastatud kontogruppide 1032 </t>
    </r>
    <r>
      <rPr>
        <i/>
        <sz val="11"/>
        <color indexed="8"/>
        <rFont val="Calibri"/>
        <family val="2"/>
        <charset val="186"/>
      </rPr>
      <t>Laenu- ja liisingnõuded</t>
    </r>
    <r>
      <rPr>
        <sz val="11"/>
        <color indexed="8"/>
        <rFont val="Calibri"/>
        <family val="2"/>
        <charset val="186"/>
      </rPr>
      <t> ja 1532 </t>
    </r>
    <r>
      <rPr>
        <i/>
        <sz val="11"/>
        <color indexed="8"/>
        <rFont val="Calibri"/>
        <family val="2"/>
        <charset val="186"/>
      </rPr>
      <t>Laenu- ja liisingnõuete pikaajaline osa</t>
    </r>
    <r>
      <rPr>
        <sz val="11"/>
        <color indexed="8"/>
        <rFont val="Calibri"/>
        <family val="2"/>
        <charset val="186"/>
      </rPr>
      <t> deebetsaldode summa miinusega;</t>
    </r>
  </si>
  <si>
    <r>
      <t> 9) muude aktsiate ja osade müük – rahavoo koodiga 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indexed="8"/>
        <rFont val="Calibri"/>
        <family val="2"/>
        <charset val="186"/>
      </rPr>
      <t> kajastatud kontode 101900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indexed="8"/>
        <rFont val="Calibri"/>
        <family val="2"/>
        <charset val="186"/>
      </rPr>
      <t> ja 151910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indexed="8"/>
        <rFont val="Calibri"/>
        <family val="2"/>
        <charset val="186"/>
      </rPr>
      <t> kreeditsaldode summa;</t>
    </r>
  </si>
  <si>
    <r>
      <t> 8) muude aktsiate ja osade soetus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indexed="8"/>
        <rFont val="Calibri"/>
        <family val="2"/>
        <charset val="186"/>
      </rPr>
      <t> kajastatud kontode 101900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indexed="8"/>
        <rFont val="Calibri"/>
        <family val="2"/>
        <charset val="186"/>
      </rPr>
      <t> ja 151910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indexed="8"/>
        <rFont val="Calibri"/>
        <family val="2"/>
        <charset val="186"/>
      </rPr>
      <t> deebetsaldode summa miinusega;</t>
    </r>
  </si>
  <si>
    <r>
      <t> 7) osaluste müük – rahavoo koodiga 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indexed="8"/>
        <rFont val="Calibri"/>
        <family val="2"/>
        <charset val="186"/>
      </rPr>
      <t> kajastatud kontorühma 150 </t>
    </r>
    <r>
      <rPr>
        <i/>
        <sz val="11"/>
        <color indexed="8"/>
        <rFont val="Calibri"/>
        <family val="2"/>
        <charset val="186"/>
      </rPr>
      <t>Osalused avaliku sektori ja sidusüksustes</t>
    </r>
    <r>
      <rPr>
        <sz val="11"/>
        <color indexed="8"/>
        <rFont val="Calibri"/>
        <family val="2"/>
        <charset val="186"/>
      </rPr>
      <t> kreeditsaldo;</t>
    </r>
  </si>
  <si>
    <r>
      <t> 6) osaluste soetus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indexed="8"/>
        <rFont val="Calibri"/>
        <family val="2"/>
        <charset val="186"/>
      </rPr>
      <t> kajastatud kontorühma 150 </t>
    </r>
    <r>
      <rPr>
        <i/>
        <sz val="11"/>
        <color indexed="8"/>
        <rFont val="Calibri"/>
        <family val="2"/>
        <charset val="186"/>
      </rPr>
      <t>Osalused avaliku sektori ja sidusüksustes</t>
    </r>
    <r>
      <rPr>
        <sz val="11"/>
        <color indexed="8"/>
        <rFont val="Calibri"/>
        <family val="2"/>
        <charset val="186"/>
      </rPr>
      <t> deebetsaldo miinusega;</t>
    </r>
  </si>
  <si>
    <r>
      <t> 5) saadud liitumistasud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indexed="8"/>
        <rFont val="Calibri"/>
        <family val="2"/>
        <charset val="186"/>
      </rPr>
      <t> kajastatud konto 253800 </t>
    </r>
    <r>
      <rPr>
        <i/>
        <sz val="11"/>
        <color indexed="8"/>
        <rFont val="Calibri"/>
        <family val="2"/>
        <charset val="186"/>
      </rPr>
      <t>Liitumistasude amortiseerimata jääk</t>
    </r>
    <r>
      <rPr>
        <sz val="11"/>
        <color indexed="8"/>
        <rFont val="Calibri"/>
        <family val="2"/>
        <charset val="186"/>
      </rPr>
      <t> kreeditsaldo;</t>
    </r>
  </si>
  <si>
    <r>
      <t> 4) antud sihtfinantseerimine põhivara soetuseks – kontogrupi 4502 </t>
    </r>
    <r>
      <rPr>
        <i/>
        <sz val="11"/>
        <color indexed="8"/>
        <rFont val="Calibri"/>
        <family val="2"/>
        <charset val="186"/>
      </rPr>
      <t>Antud sihtfinantseerimine põhivara soetuseks</t>
    </r>
    <r>
      <rPr>
        <sz val="11"/>
        <color indexed="8"/>
        <rFont val="Calibri"/>
        <family val="2"/>
        <charset val="186"/>
      </rPr>
      <t> deebetsaldo miinusega ning rahavoo koodiga 24 </t>
    </r>
    <r>
      <rPr>
        <i/>
        <sz val="11"/>
        <color indexed="8"/>
        <rFont val="Calibri"/>
        <family val="2"/>
        <charset val="186"/>
      </rPr>
      <t>Mitterahaline sihtfinantseerimine (üleandmine)</t>
    </r>
    <r>
      <rPr>
        <sz val="11"/>
        <color indexed="8"/>
        <rFont val="Calibri"/>
        <family val="2"/>
        <charset val="186"/>
      </rPr>
      <t> kajastatud kontorühmade 154 </t>
    </r>
    <r>
      <rPr>
        <i/>
        <sz val="11"/>
        <color indexed="8"/>
        <rFont val="Calibri"/>
        <family val="2"/>
        <charset val="186"/>
      </rPr>
      <t>Kinnisvarainvesteeringud</t>
    </r>
    <r>
      <rPr>
        <sz val="11"/>
        <color indexed="8"/>
        <rFont val="Calibri"/>
        <family val="2"/>
        <charset val="186"/>
      </rPr>
      <t>, 155 </t>
    </r>
    <r>
      <rPr>
        <i/>
        <sz val="11"/>
        <color indexed="8"/>
        <rFont val="Calibri"/>
        <family val="2"/>
        <charset val="186"/>
      </rPr>
      <t>Materiaalne põhivara</t>
    </r>
    <r>
      <rPr>
        <sz val="11"/>
        <color indexed="8"/>
        <rFont val="Calibri"/>
        <family val="2"/>
        <charset val="186"/>
      </rPr>
      <t>, 156 </t>
    </r>
    <r>
      <rPr>
        <i/>
        <sz val="11"/>
        <color indexed="8"/>
        <rFont val="Calibri"/>
        <family val="2"/>
        <charset val="186"/>
      </rPr>
      <t>Immateriaalne põhivara</t>
    </r>
    <r>
      <rPr>
        <sz val="11"/>
        <color indexed="8"/>
        <rFont val="Calibri"/>
        <family val="2"/>
        <charset val="186"/>
      </rPr>
      <t> ja 157 </t>
    </r>
    <r>
      <rPr>
        <i/>
        <sz val="11"/>
        <color indexed="8"/>
        <rFont val="Calibri"/>
        <family val="2"/>
        <charset val="186"/>
      </rPr>
      <t>Bioloogilised varad</t>
    </r>
    <r>
      <rPr>
        <sz val="11"/>
        <color indexed="8"/>
        <rFont val="Calibri"/>
        <family val="2"/>
        <charset val="186"/>
      </rPr>
      <t> kreeditsaldode summa;</t>
    </r>
  </si>
  <si>
    <r>
      <t> 3) saadud sihtfinantseerimine põhivara soetuseks – rahavoo koodidega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indexed="8"/>
        <rFont val="Calibri"/>
        <family val="2"/>
        <charset val="186"/>
      </rPr>
      <t> ja 05 </t>
    </r>
    <r>
      <rPr>
        <i/>
        <sz val="11"/>
        <color indexed="8"/>
        <rFont val="Calibri"/>
        <family val="2"/>
        <charset val="186"/>
      </rPr>
      <t>Kohustuste soetus (raha laekumine)</t>
    </r>
    <r>
      <rPr>
        <sz val="11"/>
        <color indexed="8"/>
        <rFont val="Calibri"/>
        <family val="2"/>
        <charset val="186"/>
      </rPr>
      <t> kajastatud kontogrupi 3502 </t>
    </r>
    <r>
      <rPr>
        <i/>
        <sz val="11"/>
        <color indexed="8"/>
        <rFont val="Calibri"/>
        <family val="2"/>
        <charset val="186"/>
      </rPr>
      <t>Saadud sihtfinantseerimine põhivara soetuseks</t>
    </r>
    <r>
      <rPr>
        <sz val="11"/>
        <color indexed="8"/>
        <rFont val="Calibri"/>
        <family val="2"/>
        <charset val="186"/>
      </rPr>
      <t> kreeditsaldo ning samade rahavoo koodidega 01 ja 05 kajastatud kontorühma 257 </t>
    </r>
    <r>
      <rPr>
        <i/>
        <sz val="11"/>
        <color indexed="8"/>
        <rFont val="Calibri"/>
        <family val="2"/>
        <charset val="186"/>
      </rPr>
      <t>Sihtfinantseerimine</t>
    </r>
    <r>
      <rPr>
        <sz val="11"/>
        <color indexed="8"/>
        <rFont val="Calibri"/>
        <family val="2"/>
        <charset val="186"/>
      </rPr>
      <t> kreeditsaldo;</t>
    </r>
  </si>
  <si>
    <r>
      <t> 2) põhivara müük – kontogruppide 3810 </t>
    </r>
    <r>
      <rPr>
        <i/>
        <sz val="11"/>
        <color indexed="8"/>
        <rFont val="Calibri"/>
        <family val="2"/>
        <charset val="186"/>
      </rPr>
      <t>Kasum/kahjum kinnisvarainvesteeringute müügist</t>
    </r>
    <r>
      <rPr>
        <sz val="11"/>
        <color indexed="8"/>
        <rFont val="Calibri"/>
        <family val="2"/>
        <charset val="186"/>
      </rPr>
      <t>, 3811 </t>
    </r>
    <r>
      <rPr>
        <i/>
        <sz val="11"/>
        <color indexed="8"/>
        <rFont val="Calibri"/>
        <family val="2"/>
        <charset val="186"/>
      </rPr>
      <t>Kasum/kahjum materiaalse põhivara müügist</t>
    </r>
    <r>
      <rPr>
        <sz val="11"/>
        <color indexed="8"/>
        <rFont val="Calibri"/>
        <family val="2"/>
        <charset val="186"/>
      </rPr>
      <t>, 3813 </t>
    </r>
    <r>
      <rPr>
        <i/>
        <sz val="11"/>
        <color indexed="8"/>
        <rFont val="Calibri"/>
        <family val="2"/>
        <charset val="186"/>
      </rPr>
      <t>Kasum/kahjum immateriaalse põhivara müügist</t>
    </r>
    <r>
      <rPr>
        <sz val="11"/>
        <color indexed="8"/>
        <rFont val="Calibri"/>
        <family val="2"/>
        <charset val="186"/>
      </rPr>
      <t> ja 3814 </t>
    </r>
    <r>
      <rPr>
        <i/>
        <sz val="11"/>
        <color indexed="8"/>
        <rFont val="Calibri"/>
        <family val="2"/>
        <charset val="186"/>
      </rPr>
      <t>Kasum/kahjum bioloogiliste varade müügist</t>
    </r>
    <r>
      <rPr>
        <sz val="11"/>
        <color indexed="8"/>
        <rFont val="Calibri"/>
        <family val="2"/>
        <charset val="186"/>
      </rPr>
      <t> kreeditsaldode summa ja rahavoo koodiga 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indexed="8"/>
        <rFont val="Calibri"/>
        <family val="2"/>
        <charset val="186"/>
      </rPr>
      <t> kajastatud kontorühmade 109 </t>
    </r>
    <r>
      <rPr>
        <i/>
        <sz val="11"/>
        <color indexed="8"/>
        <rFont val="Calibri"/>
        <family val="2"/>
        <charset val="186"/>
      </rPr>
      <t>Müügiootel põhivara</t>
    </r>
    <r>
      <rPr>
        <sz val="11"/>
        <color indexed="8"/>
        <rFont val="Calibri"/>
        <family val="2"/>
        <charset val="186"/>
      </rPr>
      <t>, 154 </t>
    </r>
    <r>
      <rPr>
        <i/>
        <sz val="11"/>
        <color indexed="8"/>
        <rFont val="Calibri"/>
        <family val="2"/>
        <charset val="186"/>
      </rPr>
      <t>Kinnisvarainvesteeringud</t>
    </r>
    <r>
      <rPr>
        <sz val="11"/>
        <color indexed="8"/>
        <rFont val="Calibri"/>
        <family val="2"/>
        <charset val="186"/>
      </rPr>
      <t>, 155 </t>
    </r>
    <r>
      <rPr>
        <i/>
        <sz val="11"/>
        <color indexed="8"/>
        <rFont val="Calibri"/>
        <family val="2"/>
        <charset val="186"/>
      </rPr>
      <t>Materiaalne põhivara</t>
    </r>
    <r>
      <rPr>
        <sz val="11"/>
        <color indexed="8"/>
        <rFont val="Calibri"/>
        <family val="2"/>
        <charset val="186"/>
      </rPr>
      <t>, 156 </t>
    </r>
    <r>
      <rPr>
        <i/>
        <sz val="11"/>
        <color indexed="8"/>
        <rFont val="Calibri"/>
        <family val="2"/>
        <charset val="186"/>
      </rPr>
      <t>Immateriaalne põhivara</t>
    </r>
    <r>
      <rPr>
        <sz val="11"/>
        <color indexed="8"/>
        <rFont val="Calibri"/>
        <family val="2"/>
        <charset val="186"/>
      </rPr>
      <t> ja 157 </t>
    </r>
    <r>
      <rPr>
        <i/>
        <sz val="11"/>
        <color indexed="8"/>
        <rFont val="Calibri"/>
        <family val="2"/>
        <charset val="186"/>
      </rPr>
      <t>Bioloogilised varad</t>
    </r>
    <r>
      <rPr>
        <sz val="11"/>
        <color indexed="8"/>
        <rFont val="Calibri"/>
        <family val="2"/>
        <charset val="186"/>
      </rPr>
      <t> kreeditsaldode summa;</t>
    </r>
  </si>
  <si>
    <r>
      <t> 1) põhivara soetus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indexed="8"/>
        <rFont val="Calibri"/>
        <family val="2"/>
        <charset val="186"/>
      </rPr>
      <t> kajastatud kontorühmade 154 </t>
    </r>
    <r>
      <rPr>
        <i/>
        <sz val="11"/>
        <color indexed="8"/>
        <rFont val="Calibri"/>
        <family val="2"/>
        <charset val="186"/>
      </rPr>
      <t>Kinnisvarainvesteeringud</t>
    </r>
    <r>
      <rPr>
        <sz val="11"/>
        <color indexed="8"/>
        <rFont val="Calibri"/>
        <family val="2"/>
        <charset val="186"/>
      </rPr>
      <t>, 155 </t>
    </r>
    <r>
      <rPr>
        <i/>
        <sz val="11"/>
        <color indexed="8"/>
        <rFont val="Calibri"/>
        <family val="2"/>
        <charset val="186"/>
      </rPr>
      <t>Materiaalne põhivara</t>
    </r>
    <r>
      <rPr>
        <sz val="11"/>
        <color indexed="8"/>
        <rFont val="Calibri"/>
        <family val="2"/>
        <charset val="186"/>
      </rPr>
      <t>, 156 </t>
    </r>
    <r>
      <rPr>
        <i/>
        <sz val="11"/>
        <color indexed="8"/>
        <rFont val="Calibri"/>
        <family val="2"/>
        <charset val="186"/>
      </rPr>
      <t>Immateriaalne põhivara</t>
    </r>
    <r>
      <rPr>
        <sz val="11"/>
        <color indexed="8"/>
        <rFont val="Calibri"/>
        <family val="2"/>
        <charset val="186"/>
      </rPr>
      <t> ja 157 </t>
    </r>
    <r>
      <rPr>
        <i/>
        <sz val="11"/>
        <color indexed="8"/>
        <rFont val="Calibri"/>
        <family val="2"/>
        <charset val="186"/>
      </rPr>
      <t>Bioloogilised varad</t>
    </r>
    <r>
      <rPr>
        <sz val="11"/>
        <color indexed="8"/>
        <rFont val="Calibri"/>
        <family val="2"/>
        <charset val="186"/>
      </rPr>
      <t> deebetsaldode summad miinusega ja konto 601002 </t>
    </r>
    <r>
      <rPr>
        <i/>
        <sz val="11"/>
        <color indexed="8"/>
        <rFont val="Calibri"/>
        <family val="2"/>
        <charset val="186"/>
      </rPr>
      <t>Käibemaks põhivara soetuselt</t>
    </r>
    <r>
      <rPr>
        <sz val="11"/>
        <color indexed="8"/>
        <rFont val="Calibri"/>
        <family val="2"/>
        <charset val="186"/>
      </rPr>
      <t> deebetsaldode summa miinusega;</t>
    </r>
  </si>
  <si>
    <t>SA Hiiumaa Muuseumid</t>
  </si>
  <si>
    <t>SA Eesti Tervishoiu Muuseum</t>
  </si>
  <si>
    <t>Integratsiooni ja Migratsiooni SA Meie Inimesed</t>
  </si>
  <si>
    <t>J. lemmik, 4456117, info@joulumae.ee</t>
  </si>
  <si>
    <t>Võlad tarnijatele- </t>
  </si>
  <si>
    <t xml:space="preserve">Põhivara müük </t>
  </si>
  <si>
    <t>SA Jõulumäe Tervisespordikeskus</t>
  </si>
  <si>
    <t>eldi@kl.ee</t>
  </si>
  <si>
    <t>Eldi Kreison, tel. 6833 103</t>
  </si>
  <si>
    <t>SA Kultuurileht</t>
  </si>
  <si>
    <t>SA Narva Aleksandri Kirik</t>
  </si>
  <si>
    <t>Anželika Shticalov, 3599244, angelika.shticalov@narvamuuseum.ee</t>
  </si>
  <si>
    <t>Niina Silantjeva, 3599246, pearaamat@narvamuuseum.ee</t>
  </si>
  <si>
    <t>SA Narva Muuseum</t>
  </si>
  <si>
    <t>Viktor Stepanov 6679508 viktor@nuku.ee</t>
  </si>
  <si>
    <r>
      <t> 13) ettevõtja tulumaks – kontoklassi 68 </t>
    </r>
    <r>
      <rPr>
        <i/>
        <sz val="11"/>
        <color indexed="8"/>
        <rFont val="Calibri"/>
        <family val="2"/>
        <charset val="186"/>
      </rPr>
      <t>Ettevõtja tulumaks</t>
    </r>
    <r>
      <rPr>
        <sz val="11"/>
        <color theme="1"/>
        <rFont val="Calibri"/>
        <family val="2"/>
        <charset val="186"/>
        <scheme val="minor"/>
      </rPr>
      <t> deebetsaldo miinusega.</t>
    </r>
  </si>
  <si>
    <r>
      <t> 12) finantstulud ja finantskulud – kontoklassi 65 välja arvatud kontod 652000, 652030 ja 655400, </t>
    </r>
    <r>
      <rPr>
        <i/>
        <sz val="11"/>
        <color indexed="8"/>
        <rFont val="Calibri"/>
        <family val="2"/>
        <charset val="186"/>
      </rPr>
      <t>Finantstulud ja -kulud</t>
    </r>
    <r>
      <rPr>
        <sz val="11"/>
        <color theme="1"/>
        <rFont val="Calibri"/>
        <family val="2"/>
        <charset val="186"/>
        <scheme val="minor"/>
      </rPr>
      <t> kreeditsaldo plussiga;</t>
    </r>
  </si>
  <si>
    <r>
      <t> 11) tagasilaekunud laenud – rahavoo koodiga 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kontogruppide 1032 </t>
    </r>
    <r>
      <rPr>
        <i/>
        <sz val="11"/>
        <color indexed="8"/>
        <rFont val="Calibri"/>
        <family val="2"/>
        <charset val="186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</t>
    </r>
    <r>
      <rPr>
        <i/>
        <sz val="11"/>
        <color indexed="8"/>
        <rFont val="Calibri"/>
        <family val="2"/>
        <charset val="186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</si>
  <si>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10) antud laenud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kontogruppide 1032 </t>
    </r>
    <r>
      <rPr>
        <i/>
        <sz val="11"/>
        <color indexed="8"/>
        <rFont val="Calibri"/>
        <family val="2"/>
        <charset val="186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</t>
    </r>
    <r>
      <rPr>
        <i/>
        <sz val="11"/>
        <color indexed="8"/>
        <rFont val="Calibri"/>
        <family val="2"/>
        <charset val="186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</si>
  <si>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t> 9) muude aktsiate ja osade müük – rahavoo koodiga 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kontode 101900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</si>
  <si>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8) muude aktsiate ja osade soetus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kontode 101900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</t>
    </r>
    <r>
      <rPr>
        <i/>
        <sz val="11"/>
        <color indexed="8"/>
        <rFont val="Calibri"/>
        <family val="2"/>
        <charset val="186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</si>
  <si>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t> 7) osaluste müük – rahavoo koodiga 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kontorühma 150 </t>
    </r>
    <r>
      <rPr>
        <i/>
        <sz val="11"/>
        <color indexed="8"/>
        <rFont val="Calibri"/>
        <family val="2"/>
        <charset val="186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</si>
  <si>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6) osaluste soetus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kontorühma 150 </t>
    </r>
    <r>
      <rPr>
        <i/>
        <sz val="11"/>
        <color indexed="8"/>
        <rFont val="Calibri"/>
        <family val="2"/>
        <charset val="186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deebetsaldo miinusega;</t>
    </r>
  </si>
  <si>
    <r>
      <t> 5) saadud liitumistasud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 253800 </t>
    </r>
    <r>
      <rPr>
        <i/>
        <sz val="11"/>
        <color indexed="8"/>
        <rFont val="Calibri"/>
        <family val="2"/>
        <charset val="186"/>
      </rPr>
      <t>Liitumistasude amortiseerimata jääk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</si>
  <si>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4) antud sihtfinantseerimine põhivara soetuseks – kontogrupi 4502 </t>
    </r>
    <r>
      <rPr>
        <i/>
        <sz val="11"/>
        <color indexed="8"/>
        <rFont val="Calibri"/>
        <family val="2"/>
        <charset val="186"/>
      </rPr>
      <t>Antud sihtfinantseerimine põhivara soetuseks</t>
    </r>
    <r>
      <rPr>
        <sz val="11"/>
        <color theme="1"/>
        <rFont val="Calibri"/>
        <family val="2"/>
        <charset val="186"/>
        <scheme val="minor"/>
      </rPr>
      <t> deebetsaldo miinusega ning rahavoo koodiga 24 </t>
    </r>
    <r>
      <rPr>
        <i/>
        <sz val="11"/>
        <color indexed="8"/>
        <rFont val="Calibri"/>
        <family val="2"/>
        <charset val="186"/>
      </rPr>
      <t>Mitterahaline sihtfinantseerimine (üleandmine)</t>
    </r>
    <r>
      <rPr>
        <sz val="11"/>
        <color theme="1"/>
        <rFont val="Calibri"/>
        <family val="2"/>
        <charset val="186"/>
        <scheme val="minor"/>
      </rPr>
      <t> kajastatud kontorühmade 154 </t>
    </r>
    <r>
      <rPr>
        <i/>
        <sz val="11"/>
        <color indexed="8"/>
        <rFont val="Calibri"/>
        <family val="2"/>
        <charset val="186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indexed="8"/>
        <rFont val="Calibri"/>
        <family val="2"/>
        <charset val="186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indexed="8"/>
        <rFont val="Calibri"/>
        <family val="2"/>
        <charset val="186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indexed="8"/>
        <rFont val="Calibri"/>
        <family val="2"/>
        <charset val="186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</si>
  <si>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3) saadud sihtfinantseerimine põhivara soetuseks – rahavoo koodidega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ja 05 </t>
    </r>
    <r>
      <rPr>
        <i/>
        <sz val="11"/>
        <color indexed="8"/>
        <rFont val="Calibri"/>
        <family val="2"/>
        <charset val="186"/>
      </rPr>
      <t>Kohustuste soetus (raha laekumine)</t>
    </r>
    <r>
      <rPr>
        <sz val="11"/>
        <color theme="1"/>
        <rFont val="Calibri"/>
        <family val="2"/>
        <charset val="186"/>
        <scheme val="minor"/>
      </rPr>
      <t> kajastatud kontogrupi 3502 </t>
    </r>
    <r>
      <rPr>
        <i/>
        <sz val="11"/>
        <color indexed="8"/>
        <rFont val="Calibri"/>
        <family val="2"/>
        <charset val="186"/>
      </rPr>
      <t>Saadud sihtfinantseerimine põhivara soetuseks</t>
    </r>
    <r>
      <rPr>
        <sz val="11"/>
        <color theme="1"/>
        <rFont val="Calibri"/>
        <family val="2"/>
        <charset val="186"/>
        <scheme val="minor"/>
      </rPr>
      <t> kreeditsaldo ning samade rahavoo koodidega 01 ja 05 kajastatud kontorühma 257 </t>
    </r>
    <r>
      <rPr>
        <i/>
        <sz val="11"/>
        <color indexed="8"/>
        <rFont val="Calibri"/>
        <family val="2"/>
        <charset val="186"/>
      </rPr>
      <t>Sihtfinantseerimine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</si>
  <si>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t> 2) põhivara müük – kontogruppide 3810 </t>
    </r>
    <r>
      <rPr>
        <i/>
        <sz val="11"/>
        <color indexed="8"/>
        <rFont val="Calibri"/>
        <family val="2"/>
        <charset val="186"/>
      </rPr>
      <t>Kasum/kahjum kinnisvarainvesteeringute müügist</t>
    </r>
    <r>
      <rPr>
        <sz val="11"/>
        <color theme="1"/>
        <rFont val="Calibri"/>
        <family val="2"/>
        <charset val="186"/>
        <scheme val="minor"/>
      </rPr>
      <t>, 3811 </t>
    </r>
    <r>
      <rPr>
        <i/>
        <sz val="11"/>
        <color indexed="8"/>
        <rFont val="Calibri"/>
        <family val="2"/>
        <charset val="186"/>
      </rPr>
      <t>Kasum/kahjum materiaalse põhivara müügist</t>
    </r>
    <r>
      <rPr>
        <sz val="11"/>
        <color theme="1"/>
        <rFont val="Calibri"/>
        <family val="2"/>
        <charset val="186"/>
        <scheme val="minor"/>
      </rPr>
      <t>, 3813 </t>
    </r>
    <r>
      <rPr>
        <i/>
        <sz val="11"/>
        <color indexed="8"/>
        <rFont val="Calibri"/>
        <family val="2"/>
        <charset val="186"/>
      </rPr>
      <t>Kasum/kahjum immateriaalse põhivara müügist</t>
    </r>
    <r>
      <rPr>
        <sz val="11"/>
        <color theme="1"/>
        <rFont val="Calibri"/>
        <family val="2"/>
        <charset val="186"/>
        <scheme val="minor"/>
      </rPr>
      <t> ja 3814 </t>
    </r>
    <r>
      <rPr>
        <i/>
        <sz val="11"/>
        <color indexed="8"/>
        <rFont val="Calibri"/>
        <family val="2"/>
        <charset val="186"/>
      </rPr>
      <t>Kasum/kahjum bioloogiliste varade müügist</t>
    </r>
    <r>
      <rPr>
        <sz val="11"/>
        <color theme="1"/>
        <rFont val="Calibri"/>
        <family val="2"/>
        <charset val="186"/>
        <scheme val="minor"/>
      </rPr>
      <t> kreeditsaldode summa ja rahavoo koodiga 02 </t>
    </r>
    <r>
      <rPr>
        <i/>
        <sz val="11"/>
        <color indexed="8"/>
        <rFont val="Calibri"/>
        <family val="2"/>
        <charset val="186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kontorühmade 109 </t>
    </r>
    <r>
      <rPr>
        <i/>
        <sz val="11"/>
        <color indexed="8"/>
        <rFont val="Calibri"/>
        <family val="2"/>
        <charset val="186"/>
      </rPr>
      <t>Müügiootel põhivara</t>
    </r>
    <r>
      <rPr>
        <sz val="11"/>
        <color theme="1"/>
        <rFont val="Calibri"/>
        <family val="2"/>
        <charset val="186"/>
        <scheme val="minor"/>
      </rPr>
      <t>, 154 </t>
    </r>
    <r>
      <rPr>
        <i/>
        <sz val="11"/>
        <color indexed="8"/>
        <rFont val="Calibri"/>
        <family val="2"/>
        <charset val="186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indexed="8"/>
        <rFont val="Calibri"/>
        <family val="2"/>
        <charset val="186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indexed="8"/>
        <rFont val="Calibri"/>
        <family val="2"/>
        <charset val="186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indexed="8"/>
        <rFont val="Calibri"/>
        <family val="2"/>
        <charset val="186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</si>
  <si>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t> 1) põhivara soetus – rahavoo koodiga 01 </t>
    </r>
    <r>
      <rPr>
        <i/>
        <sz val="11"/>
        <color indexed="8"/>
        <rFont val="Calibri"/>
        <family val="2"/>
        <charset val="186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kontorühmade 154 </t>
    </r>
    <r>
      <rPr>
        <i/>
        <sz val="11"/>
        <color indexed="8"/>
        <rFont val="Calibri"/>
        <family val="2"/>
        <charset val="186"/>
      </rPr>
      <t>Kinnisvarainvesteeringud</t>
    </r>
    <r>
      <rPr>
        <sz val="11"/>
        <color theme="1"/>
        <rFont val="Calibri"/>
        <family val="2"/>
        <charset val="186"/>
        <scheme val="minor"/>
      </rPr>
      <t>, 155 </t>
    </r>
    <r>
      <rPr>
        <i/>
        <sz val="11"/>
        <color indexed="8"/>
        <rFont val="Calibri"/>
        <family val="2"/>
        <charset val="186"/>
      </rPr>
      <t>Materiaalne põhivara</t>
    </r>
    <r>
      <rPr>
        <sz val="11"/>
        <color theme="1"/>
        <rFont val="Calibri"/>
        <family val="2"/>
        <charset val="186"/>
        <scheme val="minor"/>
      </rPr>
      <t>, 156 </t>
    </r>
    <r>
      <rPr>
        <i/>
        <sz val="11"/>
        <color indexed="8"/>
        <rFont val="Calibri"/>
        <family val="2"/>
        <charset val="186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</t>
    </r>
    <r>
      <rPr>
        <i/>
        <sz val="11"/>
        <color indexed="8"/>
        <rFont val="Calibri"/>
        <family val="2"/>
        <charset val="186"/>
      </rPr>
      <t>Bioloogilised varad</t>
    </r>
    <r>
      <rPr>
        <sz val="11"/>
        <color theme="1"/>
        <rFont val="Calibri"/>
        <family val="2"/>
        <charset val="186"/>
        <scheme val="minor"/>
      </rPr>
      <t> deebetsaldode summad miinusega ja konto 601002 </t>
    </r>
    <r>
      <rPr>
        <i/>
        <sz val="11"/>
        <color indexed="8"/>
        <rFont val="Calibri"/>
        <family val="2"/>
        <charset val="186"/>
      </rPr>
      <t>Käibemaks põhivara soetuselt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</si>
  <si>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t>raamat@pernau.ee</t>
  </si>
  <si>
    <t>tel. 4433231</t>
  </si>
  <si>
    <t>Kai Juhanson</t>
  </si>
  <si>
    <t>SA Pärnu Muuseum</t>
  </si>
  <si>
    <t>Tuuli Jaansen +372 329 5448; tuuli@rakvereteater.ee</t>
  </si>
  <si>
    <t> 13) ettevõtja tulumaks – kontoklassi 68 Ettevõtja tulumaks deebetsaldo miinusega.</t>
  </si>
  <si>
    <t> 12) finantstulud ja finantskulud – kontoklassi 65 välja arvatud kontod 652000, 652030 ja 655400, Finantstulud ja -kulud kreeditsaldo plussiga;</t>
  </si>
  <si>
    <r>
      <rPr>
        <i/>
        <sz val="11"/>
        <color rgb="FF333333"/>
        <rFont val="Calibri"/>
        <family val="2"/>
        <charset val="186"/>
      </rPr>
      <t> 11) tagasilaekunud laenud – rahavoo koodiga 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i/>
        <sz val="11"/>
        <color rgb="FF333333"/>
        <rFont val="Calibri"/>
        <family val="2"/>
        <charset val="186"/>
      </rPr>
      <t> kajastatud kontogruppide 1032 </t>
    </r>
    <r>
      <rPr>
        <sz val="11"/>
        <color theme="1"/>
        <rFont val="Calibri"/>
        <family val="2"/>
        <charset val="186"/>
        <scheme val="minor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Laenu- ja liisingnõuete pikaajaline osa kreeditsaldode summa;</t>
    </r>
  </si>
  <si>
    <r>
      <rPr>
        <i/>
        <sz val="11"/>
        <color rgb="FF333333"/>
        <rFont val="Calibri"/>
        <family val="2"/>
        <charset val="186"/>
      </rPr>
      <t> 10) antud laenud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333333"/>
        <rFont val="Calibri"/>
        <family val="2"/>
        <charset val="186"/>
      </rPr>
      <t> kajastatud kontogruppide 1032 </t>
    </r>
    <r>
      <rPr>
        <sz val="11"/>
        <color theme="1"/>
        <rFont val="Calibri"/>
        <family val="2"/>
        <charset val="186"/>
        <scheme val="minor"/>
      </rPr>
      <t>Laenu- ja liisingnõuded</t>
    </r>
    <r>
      <rPr>
        <sz val="11"/>
        <color theme="1"/>
        <rFont val="Calibri"/>
        <family val="2"/>
        <charset val="186"/>
        <scheme val="minor"/>
      </rPr>
      <t> ja 1532 Laenu- ja liisingnõuete pikaajaline osa deebetsaldode summa miinusega;</t>
    </r>
  </si>
  <si>
    <r>
      <rPr>
        <i/>
        <sz val="11"/>
        <color rgb="FF333333"/>
        <rFont val="Calibri"/>
        <family val="2"/>
        <charset val="186"/>
      </rPr>
      <t> 9) muude aktsiate ja osade müük – rahavoo koodiga 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i/>
        <sz val="11"/>
        <color rgb="FF333333"/>
        <rFont val="Calibri"/>
        <family val="2"/>
        <charset val="186"/>
      </rPr>
      <t> kajastatud kontode 101900 </t>
    </r>
    <r>
      <rPr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Noteeerimata aktsiad ja muud omakapitaliinstrumendid kreeditsaldode summa;</t>
    </r>
  </si>
  <si>
    <r>
      <rPr>
        <i/>
        <sz val="11"/>
        <color rgb="FF333333"/>
        <rFont val="Calibri"/>
        <family val="2"/>
        <charset val="186"/>
      </rPr>
      <t> 8) muude aktsiate ja osade soetus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333333"/>
        <rFont val="Calibri"/>
        <family val="2"/>
        <charset val="186"/>
      </rPr>
      <t> kajastatud kontode 101900 </t>
    </r>
    <r>
      <rPr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ja 151910 Noteeerimata aktsiad ja muud omakapitaliinstrumendid deebetsaldode summa miinusega;</t>
    </r>
  </si>
  <si>
    <r>
      <rPr>
        <i/>
        <sz val="11"/>
        <color rgb="FF333333"/>
        <rFont val="Calibri"/>
        <family val="2"/>
        <charset val="186"/>
      </rPr>
      <t> 7) osaluste müük – rahavoo koodiga 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sz val="11"/>
        <color theme="1"/>
        <rFont val="Calibri"/>
        <family val="2"/>
        <charset val="186"/>
        <scheme val="minor"/>
      </rPr>
      <t> kajastatud kontorühma 150 Osalused avaliku sektori ja sidusüksustes kreeditsaldo;</t>
    </r>
  </si>
  <si>
    <r>
      <rPr>
        <i/>
        <sz val="11"/>
        <color rgb="FF333333"/>
        <rFont val="Calibri"/>
        <family val="2"/>
        <charset val="186"/>
      </rPr>
      <t> 6) osaluste soetus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kontorühma 150 Osalused avaliku sektori ja sidusüksustes deebetsaldo miinusega;</t>
    </r>
  </si>
  <si>
    <r>
      <rPr>
        <i/>
        <sz val="11"/>
        <color rgb="FF333333"/>
        <rFont val="Calibri"/>
        <family val="2"/>
        <charset val="186"/>
      </rPr>
      <t> 5) saadud liitumistasud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sz val="11"/>
        <color theme="1"/>
        <rFont val="Calibri"/>
        <family val="2"/>
        <charset val="186"/>
        <scheme val="minor"/>
      </rPr>
      <t> kajastatud konto 253800 Liitumistasude amortiseerimata jääk kreeditsaldo;</t>
    </r>
  </si>
  <si>
    <r>
      <rPr>
        <i/>
        <sz val="11"/>
        <color rgb="FF333333"/>
        <rFont val="Calibri"/>
        <family val="2"/>
        <charset val="186"/>
      </rPr>
      <t> 4) antud sihtfinantseerimine põhivara soetuseks – kontogrupi 4502 </t>
    </r>
    <r>
      <rPr>
        <sz val="11"/>
        <color theme="1"/>
        <rFont val="Calibri"/>
        <family val="2"/>
        <charset val="186"/>
        <scheme val="minor"/>
      </rPr>
      <t>Antud sihtfinantseerimine põhivara soetuseks</t>
    </r>
    <r>
      <rPr>
        <i/>
        <sz val="11"/>
        <color rgb="FF333333"/>
        <rFont val="Calibri"/>
        <family val="2"/>
        <charset val="186"/>
      </rPr>
      <t> deebetsaldo miinusega ning rahavoo koodiga 24 </t>
    </r>
    <r>
      <rPr>
        <sz val="11"/>
        <color theme="1"/>
        <rFont val="Calibri"/>
        <family val="2"/>
        <charset val="186"/>
        <scheme val="minor"/>
      </rPr>
      <t>Mitterahaline sihtfinantseerimine (üleandmine)</t>
    </r>
    <r>
      <rPr>
        <i/>
        <sz val="11"/>
        <color rgb="FF333333"/>
        <rFont val="Calibri"/>
        <family val="2"/>
        <charset val="186"/>
      </rPr>
      <t> kajastatud kontorühmade 154 </t>
    </r>
    <r>
      <rPr>
        <sz val="11"/>
        <color theme="1"/>
        <rFont val="Calibri"/>
        <family val="2"/>
        <charset val="186"/>
        <scheme val="minor"/>
      </rPr>
      <t>Kinnisvarainvesteeringud</t>
    </r>
    <r>
      <rPr>
        <i/>
        <sz val="11"/>
        <color rgb="FF333333"/>
        <rFont val="Calibri"/>
        <family val="2"/>
        <charset val="186"/>
      </rPr>
      <t>, 155 </t>
    </r>
    <r>
      <rPr>
        <sz val="11"/>
        <color theme="1"/>
        <rFont val="Calibri"/>
        <family val="2"/>
        <charset val="186"/>
        <scheme val="minor"/>
      </rPr>
      <t>Materiaalne põhivara</t>
    </r>
    <r>
      <rPr>
        <i/>
        <sz val="11"/>
        <color rgb="FF333333"/>
        <rFont val="Calibri"/>
        <family val="2"/>
        <charset val="186"/>
      </rPr>
      <t>, 156 </t>
    </r>
    <r>
      <rPr>
        <sz val="11"/>
        <color theme="1"/>
        <rFont val="Calibri"/>
        <family val="2"/>
        <charset val="186"/>
        <scheme val="minor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Bioloogilised varad kreeditsaldode summa;</t>
    </r>
  </si>
  <si>
    <r>
      <rPr>
        <i/>
        <sz val="11"/>
        <color rgb="FF333333"/>
        <rFont val="Calibri"/>
        <family val="2"/>
        <charset val="186"/>
      </rPr>
      <t> 3) saadud sihtfinantseerimine põhivara soetuseks – rahavoo koodidega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333333"/>
        <rFont val="Calibri"/>
        <family val="2"/>
        <charset val="186"/>
      </rPr>
      <t> ja 05 </t>
    </r>
    <r>
      <rPr>
        <sz val="11"/>
        <color theme="1"/>
        <rFont val="Calibri"/>
        <family val="2"/>
        <charset val="186"/>
        <scheme val="minor"/>
      </rPr>
      <t>Kohustuste soetus (raha laekumine)</t>
    </r>
    <r>
      <rPr>
        <i/>
        <sz val="11"/>
        <color rgb="FF333333"/>
        <rFont val="Calibri"/>
        <family val="2"/>
        <charset val="186"/>
      </rPr>
      <t> kajastatud kontogrupi 3502 </t>
    </r>
    <r>
      <rPr>
        <sz val="11"/>
        <color theme="1"/>
        <rFont val="Calibri"/>
        <family val="2"/>
        <charset val="186"/>
        <scheme val="minor"/>
      </rPr>
      <t>Saadud sihtfinantseerimine põhivara soetuseks</t>
    </r>
    <r>
      <rPr>
        <sz val="11"/>
        <color theme="1"/>
        <rFont val="Calibri"/>
        <family val="2"/>
        <charset val="186"/>
        <scheme val="minor"/>
      </rPr>
      <t> kreeditsaldo ning samade rahavoo koodidega 01 ja 05 kajastatud kontorühma 257 Sihtfinantseerimine kreeditsaldo;</t>
    </r>
  </si>
  <si>
    <r>
      <rPr>
        <i/>
        <sz val="11"/>
        <color rgb="FF333333"/>
        <rFont val="Calibri"/>
        <family val="2"/>
        <charset val="186"/>
      </rPr>
      <t> 2) põhivara müük – kontogruppide 3810 </t>
    </r>
    <r>
      <rPr>
        <sz val="11"/>
        <color theme="1"/>
        <rFont val="Calibri"/>
        <family val="2"/>
        <charset val="186"/>
        <scheme val="minor"/>
      </rPr>
      <t>Kasum/kahjum kinnisvarainvesteeringute müügist</t>
    </r>
    <r>
      <rPr>
        <i/>
        <sz val="11"/>
        <color rgb="FF333333"/>
        <rFont val="Calibri"/>
        <family val="2"/>
        <charset val="186"/>
      </rPr>
      <t>, 3811 </t>
    </r>
    <r>
      <rPr>
        <sz val="11"/>
        <color theme="1"/>
        <rFont val="Calibri"/>
        <family val="2"/>
        <charset val="186"/>
        <scheme val="minor"/>
      </rPr>
      <t>Kasum/kahjum materiaalse põhivara müügist</t>
    </r>
    <r>
      <rPr>
        <i/>
        <sz val="11"/>
        <color rgb="FF333333"/>
        <rFont val="Calibri"/>
        <family val="2"/>
        <charset val="186"/>
      </rPr>
      <t>, 3813 </t>
    </r>
    <r>
      <rPr>
        <sz val="11"/>
        <color theme="1"/>
        <rFont val="Calibri"/>
        <family val="2"/>
        <charset val="186"/>
        <scheme val="minor"/>
      </rPr>
      <t>Kasum/kahjum immateriaalse põhivara müügist</t>
    </r>
    <r>
      <rPr>
        <i/>
        <sz val="11"/>
        <color rgb="FF333333"/>
        <rFont val="Calibri"/>
        <family val="2"/>
        <charset val="186"/>
      </rPr>
      <t> ja 3814 </t>
    </r>
    <r>
      <rPr>
        <sz val="11"/>
        <color theme="1"/>
        <rFont val="Calibri"/>
        <family val="2"/>
        <charset val="186"/>
        <scheme val="minor"/>
      </rPr>
      <t>Kasum/kahjum bioloogiliste varade müügist</t>
    </r>
    <r>
      <rPr>
        <i/>
        <sz val="11"/>
        <color rgb="FF333333"/>
        <rFont val="Calibri"/>
        <family val="2"/>
        <charset val="186"/>
      </rPr>
      <t> kreeditsaldode summa ja rahavoo koodiga 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i/>
        <sz val="11"/>
        <color rgb="FF333333"/>
        <rFont val="Calibri"/>
        <family val="2"/>
        <charset val="186"/>
      </rPr>
      <t> kajastatud kontorühmade 109 </t>
    </r>
    <r>
      <rPr>
        <sz val="11"/>
        <color theme="1"/>
        <rFont val="Calibri"/>
        <family val="2"/>
        <charset val="186"/>
        <scheme val="minor"/>
      </rPr>
      <t>Müügiootel põhivara</t>
    </r>
    <r>
      <rPr>
        <i/>
        <sz val="11"/>
        <color rgb="FF333333"/>
        <rFont val="Calibri"/>
        <family val="2"/>
        <charset val="186"/>
      </rPr>
      <t>, 154 </t>
    </r>
    <r>
      <rPr>
        <sz val="11"/>
        <color theme="1"/>
        <rFont val="Calibri"/>
        <family val="2"/>
        <charset val="186"/>
        <scheme val="minor"/>
      </rPr>
      <t>Kinnisvarainvesteeringud</t>
    </r>
    <r>
      <rPr>
        <i/>
        <sz val="11"/>
        <color rgb="FF333333"/>
        <rFont val="Calibri"/>
        <family val="2"/>
        <charset val="186"/>
      </rPr>
      <t>, 155 </t>
    </r>
    <r>
      <rPr>
        <sz val="11"/>
        <color theme="1"/>
        <rFont val="Calibri"/>
        <family val="2"/>
        <charset val="186"/>
        <scheme val="minor"/>
      </rPr>
      <t>Materiaalne põhivara</t>
    </r>
    <r>
      <rPr>
        <i/>
        <sz val="11"/>
        <color rgb="FF333333"/>
        <rFont val="Calibri"/>
        <family val="2"/>
        <charset val="186"/>
      </rPr>
      <t>, 156 </t>
    </r>
    <r>
      <rPr>
        <sz val="11"/>
        <color theme="1"/>
        <rFont val="Calibri"/>
        <family val="2"/>
        <charset val="186"/>
        <scheme val="minor"/>
      </rPr>
      <t>Immateriaalne põhivara</t>
    </r>
    <r>
      <rPr>
        <sz val="11"/>
        <color theme="1"/>
        <rFont val="Calibri"/>
        <family val="2"/>
        <charset val="186"/>
        <scheme val="minor"/>
      </rPr>
      <t> ja 157 Bioloogilised varad kreeditsaldode summa;</t>
    </r>
  </si>
  <si>
    <r>
      <rPr>
        <i/>
        <sz val="11"/>
        <color rgb="FF333333"/>
        <rFont val="Calibri"/>
        <family val="2"/>
        <charset val="186"/>
      </rPr>
      <t> 1) põhivara soetus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333333"/>
        <rFont val="Calibri"/>
        <family val="2"/>
        <charset val="186"/>
      </rPr>
      <t> kajastatud kontorühmade 154 </t>
    </r>
    <r>
      <rPr>
        <sz val="11"/>
        <color theme="1"/>
        <rFont val="Calibri"/>
        <family val="2"/>
        <charset val="186"/>
        <scheme val="minor"/>
      </rPr>
      <t>Kinnisvarainvesteeringud</t>
    </r>
    <r>
      <rPr>
        <i/>
        <sz val="11"/>
        <color rgb="FF333333"/>
        <rFont val="Calibri"/>
        <family val="2"/>
        <charset val="186"/>
      </rPr>
      <t>, 155 </t>
    </r>
    <r>
      <rPr>
        <sz val="11"/>
        <color theme="1"/>
        <rFont val="Calibri"/>
        <family val="2"/>
        <charset val="186"/>
        <scheme val="minor"/>
      </rPr>
      <t>Materiaalne põhivara</t>
    </r>
    <r>
      <rPr>
        <i/>
        <sz val="11"/>
        <color rgb="FF333333"/>
        <rFont val="Calibri"/>
        <family val="2"/>
        <charset val="186"/>
      </rPr>
      <t>, 156 </t>
    </r>
    <r>
      <rPr>
        <sz val="11"/>
        <color theme="1"/>
        <rFont val="Calibri"/>
        <family val="2"/>
        <charset val="186"/>
        <scheme val="minor"/>
      </rPr>
      <t>Immateriaalne põhivara</t>
    </r>
    <r>
      <rPr>
        <i/>
        <sz val="11"/>
        <color rgb="FF333333"/>
        <rFont val="Calibri"/>
        <family val="2"/>
        <charset val="186"/>
      </rPr>
      <t> ja 157 </t>
    </r>
    <r>
      <rPr>
        <sz val="11"/>
        <color theme="1"/>
        <rFont val="Calibri"/>
        <family val="2"/>
        <charset val="186"/>
        <scheme val="minor"/>
      </rPr>
      <t>Bioloogilised varad</t>
    </r>
    <r>
      <rPr>
        <sz val="11"/>
        <color theme="1"/>
        <rFont val="Calibri"/>
        <family val="2"/>
        <charset val="186"/>
        <scheme val="minor"/>
      </rPr>
      <t> deebetsaldode summad miinusega ja konto 601002 Käibemaks põhivara soetuselt deebetsaldode summa miinusega;</t>
    </r>
  </si>
  <si>
    <t>SA Rakvere Teatrimaja</t>
  </si>
  <si>
    <t>Positsioon (tulp Y)</t>
  </si>
  <si>
    <t>Võlakohustused (tulp R)</t>
  </si>
  <si>
    <t>Investeeringud (tulp T)</t>
  </si>
  <si>
    <t>Täiendav informatsioon:</t>
  </si>
  <si>
    <t>Juhani Jaeger, 56628741</t>
  </si>
  <si>
    <t>Kontaktisik küsimuste puhul:</t>
  </si>
  <si>
    <t xml:space="preserve"> </t>
  </si>
  <si>
    <t>e</t>
  </si>
  <si>
    <t>(ei saa arvutada)</t>
  </si>
  <si>
    <t>võla-kohustused</t>
  </si>
  <si>
    <t>lühiajalised kohustused</t>
  </si>
  <si>
    <t>kokku</t>
  </si>
  <si>
    <t>käibevara</t>
  </si>
  <si>
    <t>muud finants-varad</t>
  </si>
  <si>
    <t>raha ja ekvi-valendid</t>
  </si>
  <si>
    <t>põhivara kulum ja allahindlus</t>
  </si>
  <si>
    <t>makstavad toetused</t>
  </si>
  <si>
    <t>sihtotst. eraldised eelarvest</t>
  </si>
  <si>
    <t>müügitulu</t>
  </si>
  <si>
    <t>Võla-kohustus-te muutus</t>
  </si>
  <si>
    <t>viga</t>
  </si>
  <si>
    <t>posit-sioon</t>
  </si>
  <si>
    <t>finants-varad</t>
  </si>
  <si>
    <t>mittefinants-varad</t>
  </si>
  <si>
    <t>Bilansi tasakaal</t>
  </si>
  <si>
    <t>Inves-teeringud</t>
  </si>
  <si>
    <t>Kohustused</t>
  </si>
  <si>
    <t>Varad</t>
  </si>
  <si>
    <t>Tegevustulud</t>
  </si>
  <si>
    <t>Aasta</t>
  </si>
  <si>
    <t>Positsioon</t>
  </si>
  <si>
    <t>Kontrollid</t>
  </si>
  <si>
    <t>SA Tartu Jaani Kirik</t>
  </si>
  <si>
    <t>504 7159</t>
  </si>
  <si>
    <t>marju@no99.ee</t>
  </si>
  <si>
    <t>Marju Väli</t>
  </si>
  <si>
    <r>
      <rPr>
        <i/>
        <sz val="11"/>
        <color rgb="FF000000"/>
        <rFont val="Calibri"/>
        <family val="2"/>
        <charset val="186"/>
      </rPr>
      <t> 13) ettevõtja tulumaks – kontoklassi 68 </t>
    </r>
    <r>
      <rPr>
        <sz val="11"/>
        <color theme="1"/>
        <rFont val="Calibri"/>
        <family val="2"/>
        <charset val="186"/>
        <scheme val="minor"/>
      </rPr>
      <t>Ettevõtja tulumaks</t>
    </r>
    <r>
      <rPr>
        <sz val="11"/>
        <color theme="1"/>
        <rFont val="Calibri"/>
        <family val="2"/>
        <charset val="186"/>
        <scheme val="minor"/>
      </rPr>
      <t> deebetsaldo miinusega.</t>
    </r>
  </si>
  <si>
    <r>
      <rPr>
        <i/>
        <sz val="11"/>
        <color rgb="FF000000"/>
        <rFont val="Calibri"/>
        <family val="2"/>
        <charset val="186"/>
      </rPr>
      <t> 12) finantstulud ja finantskulud – kontoklassi 65 välja arvatud kontod 652000, 652030 ja 655400, </t>
    </r>
    <r>
      <rPr>
        <sz val="11"/>
        <color theme="1"/>
        <rFont val="Calibri"/>
        <family val="2"/>
        <charset val="186"/>
        <scheme val="minor"/>
      </rPr>
      <t>Finantstulud ja -kulud</t>
    </r>
    <r>
      <rPr>
        <sz val="11"/>
        <color theme="1"/>
        <rFont val="Calibri"/>
        <family val="2"/>
        <charset val="186"/>
        <scheme val="minor"/>
      </rPr>
      <t> kreeditsaldo plussiga;</t>
    </r>
  </si>
  <si>
    <r>
      <rPr>
        <i/>
        <sz val="11"/>
        <color rgb="FF000000"/>
        <rFont val="Calibri"/>
        <family val="2"/>
        <charset val="186"/>
      </rPr>
      <t> 11) tagasilaekunud laenud – rahavoo koodiga 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i/>
        <sz val="11"/>
        <color rgb="FF000000"/>
        <rFont val="Calibri"/>
        <family val="2"/>
        <charset val="186"/>
      </rPr>
      <t> kajastatud kontogruppide 1032 </t>
    </r>
    <r>
      <rPr>
        <sz val="11"/>
        <color theme="1"/>
        <rFont val="Calibri"/>
        <family val="2"/>
        <charset val="186"/>
        <scheme val="minor"/>
      </rPr>
      <t>Laenu- ja liisingnõuded</t>
    </r>
    <r>
      <rPr>
        <i/>
        <sz val="11"/>
        <color rgb="FF000000"/>
        <rFont val="Calibri"/>
        <family val="2"/>
        <charset val="186"/>
      </rPr>
      <t> ja 1532 </t>
    </r>
    <r>
      <rPr>
        <sz val="11"/>
        <color theme="1"/>
        <rFont val="Calibri"/>
        <family val="2"/>
        <charset val="186"/>
        <scheme val="minor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</si>
  <si>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rPr>
        <i/>
        <sz val="11"/>
        <color rgb="FF000000"/>
        <rFont val="Calibri"/>
        <family val="2"/>
        <charset val="186"/>
      </rPr>
      <t> 10) antud laenud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000000"/>
        <rFont val="Calibri"/>
        <family val="2"/>
        <charset val="186"/>
      </rPr>
      <t> kajastatud kontogruppide 1032 </t>
    </r>
    <r>
      <rPr>
        <sz val="11"/>
        <color theme="1"/>
        <rFont val="Calibri"/>
        <family val="2"/>
        <charset val="186"/>
        <scheme val="minor"/>
      </rPr>
      <t>Laenu- ja liisingnõuded</t>
    </r>
    <r>
      <rPr>
        <i/>
        <sz val="11"/>
        <color rgb="FF000000"/>
        <rFont val="Calibri"/>
        <family val="2"/>
        <charset val="186"/>
      </rPr>
      <t> ja 1532 </t>
    </r>
    <r>
      <rPr>
        <sz val="11"/>
        <color theme="1"/>
        <rFont val="Calibri"/>
        <family val="2"/>
        <charset val="186"/>
        <scheme val="minor"/>
      </rPr>
      <t>Laenu- ja liisingnõuete pikaajaline osa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</si>
  <si>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rPr>
        <i/>
        <sz val="11"/>
        <color rgb="FF000000"/>
        <rFont val="Calibri"/>
        <family val="2"/>
        <charset val="186"/>
      </rPr>
      <t> 9) muude aktsiate ja osade müük – rahavoo koodiga 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i/>
        <sz val="11"/>
        <color rgb="FF000000"/>
        <rFont val="Calibri"/>
        <family val="2"/>
        <charset val="186"/>
      </rPr>
      <t> kajastatud kontode 101900 </t>
    </r>
    <r>
      <rPr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i/>
        <sz val="11"/>
        <color rgb="FF000000"/>
        <rFont val="Calibri"/>
        <family val="2"/>
        <charset val="186"/>
      </rPr>
      <t> ja 151910 </t>
    </r>
    <r>
      <rPr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</si>
  <si>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rPr>
        <i/>
        <sz val="11"/>
        <color rgb="FF000000"/>
        <rFont val="Calibri"/>
        <family val="2"/>
        <charset val="186"/>
      </rPr>
      <t> 8) muude aktsiate ja osade soetus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000000"/>
        <rFont val="Calibri"/>
        <family val="2"/>
        <charset val="186"/>
      </rPr>
      <t> kajastatud kontode 101900 </t>
    </r>
    <r>
      <rPr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i/>
        <sz val="11"/>
        <color rgb="FF000000"/>
        <rFont val="Calibri"/>
        <family val="2"/>
        <charset val="186"/>
      </rPr>
      <t> ja 151910 </t>
    </r>
    <r>
      <rPr>
        <sz val="11"/>
        <color theme="1"/>
        <rFont val="Calibri"/>
        <family val="2"/>
        <charset val="186"/>
        <scheme val="minor"/>
      </rPr>
      <t>Noteeerimata aktsiad ja muud omakapitaliinstrumendid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</si>
  <si>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r>
      <rPr>
        <i/>
        <sz val="11"/>
        <color rgb="FF000000"/>
        <rFont val="Calibri"/>
        <family val="2"/>
        <charset val="186"/>
      </rPr>
      <t> 7) osaluste müük – rahavoo koodiga 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i/>
        <sz val="11"/>
        <color rgb="FF000000"/>
        <rFont val="Calibri"/>
        <family val="2"/>
        <charset val="186"/>
      </rPr>
      <t> kajastatud kontorühma 150 </t>
    </r>
    <r>
      <rPr>
        <sz val="11"/>
        <color theme="1"/>
        <rFont val="Calibri"/>
        <family val="2"/>
        <charset val="186"/>
        <scheme val="minor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</si>
  <si>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rPr>
        <i/>
        <sz val="11"/>
        <color rgb="FF000000"/>
        <rFont val="Calibri"/>
        <family val="2"/>
        <charset val="186"/>
      </rPr>
      <t> 6) osaluste soetus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000000"/>
        <rFont val="Calibri"/>
        <family val="2"/>
        <charset val="186"/>
      </rPr>
      <t> kajastatud kontorühma 150 </t>
    </r>
    <r>
      <rPr>
        <sz val="11"/>
        <color theme="1"/>
        <rFont val="Calibri"/>
        <family val="2"/>
        <charset val="186"/>
        <scheme val="minor"/>
      </rPr>
      <t>Osalused avaliku sektori ja sidusüksustes</t>
    </r>
    <r>
      <rPr>
        <sz val="11"/>
        <color theme="1"/>
        <rFont val="Calibri"/>
        <family val="2"/>
        <charset val="186"/>
        <scheme val="minor"/>
      </rPr>
      <t> deebetsaldo miinusega;</t>
    </r>
  </si>
  <si>
    <r>
      <rPr>
        <i/>
        <sz val="11"/>
        <color rgb="FF000000"/>
        <rFont val="Calibri"/>
        <family val="2"/>
        <charset val="186"/>
      </rPr>
      <t> 5) saadud liitumistasud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000000"/>
        <rFont val="Calibri"/>
        <family val="2"/>
        <charset val="186"/>
      </rPr>
      <t> kajastatud konto 253800 </t>
    </r>
    <r>
      <rPr>
        <sz val="11"/>
        <color theme="1"/>
        <rFont val="Calibri"/>
        <family val="2"/>
        <charset val="186"/>
        <scheme val="minor"/>
      </rPr>
      <t>Liitumistasude amortiseerimata jääk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</si>
  <si>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rPr>
        <i/>
        <sz val="11"/>
        <color rgb="FF000000"/>
        <rFont val="Calibri"/>
        <family val="2"/>
        <charset val="186"/>
      </rPr>
      <t> 4) antud sihtfinantseerimine põhivara soetuseks – kontogrupi 4502 </t>
    </r>
    <r>
      <rPr>
        <sz val="11"/>
        <color theme="1"/>
        <rFont val="Calibri"/>
        <family val="2"/>
        <charset val="186"/>
        <scheme val="minor"/>
      </rPr>
      <t>Antud sihtfinantseerimine põhivara soetuseks</t>
    </r>
    <r>
      <rPr>
        <i/>
        <sz val="11"/>
        <color rgb="FF000000"/>
        <rFont val="Calibri"/>
        <family val="2"/>
        <charset val="186"/>
      </rPr>
      <t> deebetsaldo miinusega ning rahavoo koodiga 24 </t>
    </r>
    <r>
      <rPr>
        <sz val="11"/>
        <color theme="1"/>
        <rFont val="Calibri"/>
        <family val="2"/>
        <charset val="186"/>
        <scheme val="minor"/>
      </rPr>
      <t>Mitterahaline sihtfinantseerimine (üleandmine)</t>
    </r>
    <r>
      <rPr>
        <i/>
        <sz val="11"/>
        <color rgb="FF000000"/>
        <rFont val="Calibri"/>
        <family val="2"/>
        <charset val="186"/>
      </rPr>
      <t> kajastatud kontorühmade 154 </t>
    </r>
    <r>
      <rPr>
        <sz val="11"/>
        <color theme="1"/>
        <rFont val="Calibri"/>
        <family val="2"/>
        <charset val="186"/>
        <scheme val="minor"/>
      </rPr>
      <t>Kinnisvarainvesteeringud</t>
    </r>
    <r>
      <rPr>
        <i/>
        <sz val="11"/>
        <color rgb="FF000000"/>
        <rFont val="Calibri"/>
        <family val="2"/>
        <charset val="186"/>
      </rPr>
      <t>, 155 </t>
    </r>
    <r>
      <rPr>
        <sz val="11"/>
        <color theme="1"/>
        <rFont val="Calibri"/>
        <family val="2"/>
        <charset val="186"/>
        <scheme val="minor"/>
      </rPr>
      <t>Materiaalne põhivara</t>
    </r>
    <r>
      <rPr>
        <i/>
        <sz val="11"/>
        <color rgb="FF000000"/>
        <rFont val="Calibri"/>
        <family val="2"/>
        <charset val="186"/>
      </rPr>
      <t>, 156 </t>
    </r>
    <r>
      <rPr>
        <sz val="11"/>
        <color theme="1"/>
        <rFont val="Calibri"/>
        <family val="2"/>
        <charset val="186"/>
        <scheme val="minor"/>
      </rPr>
      <t>Immateriaalne põhivara</t>
    </r>
    <r>
      <rPr>
        <i/>
        <sz val="11"/>
        <color rgb="FF000000"/>
        <rFont val="Calibri"/>
        <family val="2"/>
        <charset val="186"/>
      </rPr>
      <t> ja 157 </t>
    </r>
    <r>
      <rPr>
        <sz val="11"/>
        <color theme="1"/>
        <rFont val="Calibri"/>
        <family val="2"/>
        <charset val="186"/>
        <scheme val="minor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</si>
  <si>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rPr>
        <i/>
        <sz val="11"/>
        <color rgb="FF000000"/>
        <rFont val="Calibri"/>
        <family val="2"/>
        <charset val="186"/>
      </rPr>
      <t> 3) saadud sihtfinantseerimine põhivara soetuseks – rahavoo koodidega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000000"/>
        <rFont val="Calibri"/>
        <family val="2"/>
        <charset val="186"/>
      </rPr>
      <t> ja 05 </t>
    </r>
    <r>
      <rPr>
        <sz val="11"/>
        <color theme="1"/>
        <rFont val="Calibri"/>
        <family val="2"/>
        <charset val="186"/>
        <scheme val="minor"/>
      </rPr>
      <t>Kohustuste soetus (raha laekumine)</t>
    </r>
    <r>
      <rPr>
        <i/>
        <sz val="11"/>
        <color rgb="FF000000"/>
        <rFont val="Calibri"/>
        <family val="2"/>
        <charset val="186"/>
      </rPr>
      <t> kajastatud kontogrupi 3502 </t>
    </r>
    <r>
      <rPr>
        <sz val="11"/>
        <color theme="1"/>
        <rFont val="Calibri"/>
        <family val="2"/>
        <charset val="186"/>
        <scheme val="minor"/>
      </rPr>
      <t>Saadud sihtfinantseerimine põhivara soetuseks</t>
    </r>
    <r>
      <rPr>
        <i/>
        <sz val="11"/>
        <color rgb="FF000000"/>
        <rFont val="Calibri"/>
        <family val="2"/>
        <charset val="186"/>
      </rPr>
      <t> kreeditsaldo ning samade rahavoo koodidega 01 ja 05 kajastatud kontorühma 257 </t>
    </r>
    <r>
      <rPr>
        <sz val="11"/>
        <color theme="1"/>
        <rFont val="Calibri"/>
        <family val="2"/>
        <charset val="186"/>
        <scheme val="minor"/>
      </rPr>
      <t>Sihtfinantseerimine</t>
    </r>
    <r>
      <rPr>
        <sz val="11"/>
        <color theme="1"/>
        <rFont val="Calibri"/>
        <family val="2"/>
        <charset val="186"/>
        <scheme val="minor"/>
      </rPr>
      <t> kreeditsaldo;</t>
    </r>
  </si>
  <si>
    <r>
      <rPr>
        <i/>
        <sz val="11"/>
        <color rgb="FF000000"/>
        <rFont val="Calibri"/>
        <family val="2"/>
        <charset val="186"/>
      </rPr>
      <t> 2) põhivara müük – kontogruppide 3810 </t>
    </r>
    <r>
      <rPr>
        <sz val="11"/>
        <color theme="1"/>
        <rFont val="Calibri"/>
        <family val="2"/>
        <charset val="186"/>
        <scheme val="minor"/>
      </rPr>
      <t>Kasum/kahjum kinnisvarainvesteeringute müügist</t>
    </r>
    <r>
      <rPr>
        <i/>
        <sz val="11"/>
        <color rgb="FF000000"/>
        <rFont val="Calibri"/>
        <family val="2"/>
        <charset val="186"/>
      </rPr>
      <t>, 3811 </t>
    </r>
    <r>
      <rPr>
        <sz val="11"/>
        <color theme="1"/>
        <rFont val="Calibri"/>
        <family val="2"/>
        <charset val="186"/>
        <scheme val="minor"/>
      </rPr>
      <t>Kasum/kahjum materiaalse põhivara müügist</t>
    </r>
    <r>
      <rPr>
        <i/>
        <sz val="11"/>
        <color rgb="FF000000"/>
        <rFont val="Calibri"/>
        <family val="2"/>
        <charset val="186"/>
      </rPr>
      <t>, 3813 </t>
    </r>
    <r>
      <rPr>
        <sz val="11"/>
        <color theme="1"/>
        <rFont val="Calibri"/>
        <family val="2"/>
        <charset val="186"/>
        <scheme val="minor"/>
      </rPr>
      <t>Kasum/kahjum immateriaalse põhivara müügist</t>
    </r>
    <r>
      <rPr>
        <i/>
        <sz val="11"/>
        <color rgb="FF000000"/>
        <rFont val="Calibri"/>
        <family val="2"/>
        <charset val="186"/>
      </rPr>
      <t> ja 3814 </t>
    </r>
    <r>
      <rPr>
        <sz val="11"/>
        <color theme="1"/>
        <rFont val="Calibri"/>
        <family val="2"/>
        <charset val="186"/>
        <scheme val="minor"/>
      </rPr>
      <t>Kasum/kahjum bioloogiliste varade müügist</t>
    </r>
    <r>
      <rPr>
        <i/>
        <sz val="11"/>
        <color rgb="FF000000"/>
        <rFont val="Calibri"/>
        <family val="2"/>
        <charset val="186"/>
      </rPr>
      <t> kreeditsaldode summa ja rahavoo koodiga 02 </t>
    </r>
    <r>
      <rPr>
        <sz val="11"/>
        <color theme="1"/>
        <rFont val="Calibri"/>
        <family val="2"/>
        <charset val="186"/>
        <scheme val="minor"/>
      </rPr>
      <t>Vara müük, tagasisaamine, laekumine (raha sissetulek)</t>
    </r>
    <r>
      <rPr>
        <i/>
        <sz val="11"/>
        <color rgb="FF000000"/>
        <rFont val="Calibri"/>
        <family val="2"/>
        <charset val="186"/>
      </rPr>
      <t> kajastatud kontorühmade 109 </t>
    </r>
    <r>
      <rPr>
        <sz val="11"/>
        <color theme="1"/>
        <rFont val="Calibri"/>
        <family val="2"/>
        <charset val="186"/>
        <scheme val="minor"/>
      </rPr>
      <t>Müügiootel põhivara</t>
    </r>
    <r>
      <rPr>
        <i/>
        <sz val="11"/>
        <color rgb="FF000000"/>
        <rFont val="Calibri"/>
        <family val="2"/>
        <charset val="186"/>
      </rPr>
      <t>, 154 </t>
    </r>
    <r>
      <rPr>
        <sz val="11"/>
        <color theme="1"/>
        <rFont val="Calibri"/>
        <family val="2"/>
        <charset val="186"/>
        <scheme val="minor"/>
      </rPr>
      <t>Kinnisvarainvesteeringud</t>
    </r>
    <r>
      <rPr>
        <i/>
        <sz val="11"/>
        <color rgb="FF000000"/>
        <rFont val="Calibri"/>
        <family val="2"/>
        <charset val="186"/>
      </rPr>
      <t>, 155 </t>
    </r>
    <r>
      <rPr>
        <sz val="11"/>
        <color theme="1"/>
        <rFont val="Calibri"/>
        <family val="2"/>
        <charset val="186"/>
        <scheme val="minor"/>
      </rPr>
      <t>Materiaalne põhivara</t>
    </r>
    <r>
      <rPr>
        <i/>
        <sz val="11"/>
        <color rgb="FF000000"/>
        <rFont val="Calibri"/>
        <family val="2"/>
        <charset val="186"/>
      </rPr>
      <t>, 156 </t>
    </r>
    <r>
      <rPr>
        <sz val="11"/>
        <color theme="1"/>
        <rFont val="Calibri"/>
        <family val="2"/>
        <charset val="186"/>
        <scheme val="minor"/>
      </rPr>
      <t>Immateriaalne põhivara</t>
    </r>
    <r>
      <rPr>
        <i/>
        <sz val="11"/>
        <color rgb="FF000000"/>
        <rFont val="Calibri"/>
        <family val="2"/>
        <charset val="186"/>
      </rPr>
      <t> ja 157 </t>
    </r>
    <r>
      <rPr>
        <sz val="11"/>
        <color theme="1"/>
        <rFont val="Calibri"/>
        <family val="2"/>
        <charset val="186"/>
        <scheme val="minor"/>
      </rPr>
      <t>Bioloogilised varad</t>
    </r>
    <r>
      <rPr>
        <sz val="11"/>
        <color theme="1"/>
        <rFont val="Calibri"/>
        <family val="2"/>
        <charset val="186"/>
        <scheme val="minor"/>
      </rPr>
      <t> kreeditsaldode summa;</t>
    </r>
  </si>
  <si>
    <r>
      <rPr>
        <i/>
        <sz val="11"/>
        <color rgb="FF000000"/>
        <rFont val="Calibri"/>
        <family val="2"/>
        <charset val="186"/>
      </rPr>
      <t> 1) põhivara soetus – rahavoo koodiga 01 </t>
    </r>
    <r>
      <rPr>
        <sz val="11"/>
        <color theme="1"/>
        <rFont val="Calibri"/>
        <family val="2"/>
        <charset val="186"/>
        <scheme val="minor"/>
      </rPr>
      <t>Vara soetus (raha väljaminek)</t>
    </r>
    <r>
      <rPr>
        <i/>
        <sz val="11"/>
        <color rgb="FF000000"/>
        <rFont val="Calibri"/>
        <family val="2"/>
        <charset val="186"/>
      </rPr>
      <t> kajastatud kontorühmade 154 </t>
    </r>
    <r>
      <rPr>
        <sz val="11"/>
        <color theme="1"/>
        <rFont val="Calibri"/>
        <family val="2"/>
        <charset val="186"/>
        <scheme val="minor"/>
      </rPr>
      <t>Kinnisvarainvesteeringud</t>
    </r>
    <r>
      <rPr>
        <i/>
        <sz val="11"/>
        <color rgb="FF000000"/>
        <rFont val="Calibri"/>
        <family val="2"/>
        <charset val="186"/>
      </rPr>
      <t>, 155 </t>
    </r>
    <r>
      <rPr>
        <sz val="11"/>
        <color theme="1"/>
        <rFont val="Calibri"/>
        <family val="2"/>
        <charset val="186"/>
        <scheme val="minor"/>
      </rPr>
      <t>Materiaalne põhivara</t>
    </r>
    <r>
      <rPr>
        <i/>
        <sz val="11"/>
        <color rgb="FF000000"/>
        <rFont val="Calibri"/>
        <family val="2"/>
        <charset val="186"/>
      </rPr>
      <t>, 156 </t>
    </r>
    <r>
      <rPr>
        <sz val="11"/>
        <color theme="1"/>
        <rFont val="Calibri"/>
        <family val="2"/>
        <charset val="186"/>
        <scheme val="minor"/>
      </rPr>
      <t>Immateriaalne põhivara</t>
    </r>
    <r>
      <rPr>
        <i/>
        <sz val="11"/>
        <color rgb="FF000000"/>
        <rFont val="Calibri"/>
        <family val="2"/>
        <charset val="186"/>
      </rPr>
      <t> ja 157 </t>
    </r>
    <r>
      <rPr>
        <sz val="11"/>
        <color theme="1"/>
        <rFont val="Calibri"/>
        <family val="2"/>
        <charset val="186"/>
        <scheme val="minor"/>
      </rPr>
      <t>Bioloogilised varad</t>
    </r>
    <r>
      <rPr>
        <i/>
        <sz val="11"/>
        <color rgb="FF000000"/>
        <rFont val="Calibri"/>
        <family val="2"/>
        <charset val="186"/>
      </rPr>
      <t> deebetsaldode summad miinusega ja konto 601002 </t>
    </r>
    <r>
      <rPr>
        <sz val="11"/>
        <color theme="1"/>
        <rFont val="Calibri"/>
        <family val="2"/>
        <charset val="186"/>
        <scheme val="minor"/>
      </rPr>
      <t>Käibemaks põhivara soetuselt</t>
    </r>
    <r>
      <rPr>
        <sz val="11"/>
        <color theme="1"/>
        <rFont val="Calibri"/>
        <family val="2"/>
        <charset val="186"/>
        <scheme val="minor"/>
      </rPr>
      <t> deebetsaldode summa miinusega;</t>
    </r>
  </si>
  <si>
    <t>SA Teater NO99</t>
  </si>
  <si>
    <t>7440115, toomas@vanemuine.ee</t>
  </si>
  <si>
    <t>Toomas Peterson</t>
  </si>
  <si>
    <t>kontorühma 250 kreeditsaldo</t>
  </si>
  <si>
    <r>
      <t>2015</t>
    </r>
    <r>
      <rPr>
        <b/>
        <sz val="8"/>
        <color theme="1"/>
        <rFont val="Calibri"/>
        <family val="2"/>
        <charset val="186"/>
        <scheme val="minor"/>
      </rPr>
      <t xml:space="preserve"> (auditeeritud)</t>
    </r>
  </si>
  <si>
    <t>SA Teater Vanemuine</t>
  </si>
  <si>
    <t>SA Tehvandi Spordikeskus</t>
  </si>
  <si>
    <t>helle.konts@ugala.ee</t>
  </si>
  <si>
    <t>Helle Konts</t>
  </si>
  <si>
    <t>Põhitegevuse tulem(PT tulud - PT kulud)</t>
  </si>
  <si>
    <t>SA Ugala Teater</t>
  </si>
  <si>
    <t>Ave Epner, tel 5167173, aveepner@icloud.com</t>
  </si>
  <si>
    <t>SA UNESCO Eesti Rahvuslik Komisjon</t>
  </si>
  <si>
    <t>SA Vanalinna Teatrimaja</t>
  </si>
  <si>
    <t>*Investeerimistegevuse kogusumma leidmisel liidetakse:</t>
  </si>
  <si>
    <t>Halli värvi lahtreid kasutatakse sihtasutuste ja äriühingute finantseesmärkide kajastamiseks vastavalt riigivara seadusele, avalik-õiguslikud isikud neid täitma ei pea.</t>
  </si>
  <si>
    <t>Likviidsed varad:</t>
  </si>
  <si>
    <t>Tagasilaekunud laenud (-)</t>
  </si>
  <si>
    <t>Muude aktsiate ja osade müük (-)</t>
  </si>
  <si>
    <t>Osaluste müük (-)</t>
  </si>
  <si>
    <t>Saadud liitumistasud (-)</t>
  </si>
  <si>
    <t>Põhivara müük (-)</t>
  </si>
  <si>
    <t>Investeerimistegevus*:</t>
  </si>
  <si>
    <t>konto 3 - 4 - 5 - 6</t>
  </si>
  <si>
    <t>Tegevuskulud:</t>
  </si>
  <si>
    <t>Põhitegevuse kulud:</t>
  </si>
  <si>
    <t>Saadud toetused</t>
  </si>
  <si>
    <t>Müügitulu</t>
  </si>
  <si>
    <t>SA Vene Teater</t>
  </si>
  <si>
    <t xml:space="preserve">Täiendav informatsioon: </t>
  </si>
  <si>
    <t>Kontaktisik küsimuste puhul (nimi, tel, e-post): Rutt Somelar    rutts@svm.ee</t>
  </si>
  <si>
    <t>%</t>
  </si>
  <si>
    <t>teg/eelmine</t>
  </si>
  <si>
    <t>järgm/teg</t>
  </si>
  <si>
    <t>teg/eelarve</t>
  </si>
  <si>
    <t>SA Virumaa Muuseumid</t>
  </si>
  <si>
    <t>SA NUKU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</si>
</sst>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i/>
      <sz val="11"/>
      <color rgb="FF000000"/>
      <name val="Calibri"/>
      <family val="2"/>
      <charset val="186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charset val="186"/>
    </font>
    <font>
      <sz val="11"/>
      <color indexed="8"/>
      <name val="Calibri"/>
      <family val="2"/>
      <charset val="186"/>
    </font>
    <font>
      <u/>
      <sz val="11"/>
      <color indexed="12"/>
      <name val="Calibri"/>
      <family val="2"/>
      <charset val="186"/>
    </font>
    <font>
      <b/>
      <sz val="11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sz val="11"/>
      <color rgb="FF333333"/>
      <name val="Calibri"/>
      <family val="2"/>
      <charset val="186"/>
    </font>
    <font>
      <i/>
      <sz val="11"/>
      <color rgb="FF333333"/>
      <name val="Calibri"/>
      <family val="2"/>
      <charset val="186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</font>
    <font>
      <b/>
      <i/>
      <sz val="8"/>
      <name val="Arial"/>
      <family val="2"/>
      <charset val="186"/>
    </font>
    <font>
      <b/>
      <u/>
      <sz val="8"/>
      <name val="Arial"/>
      <family val="2"/>
      <charset val="1"/>
    </font>
    <font>
      <sz val="8"/>
      <color indexed="10"/>
      <name val="Arial"/>
      <family val="2"/>
      <charset val="1"/>
    </font>
    <font>
      <b/>
      <u/>
      <sz val="8"/>
      <name val="Arial"/>
      <family val="2"/>
      <charset val="186"/>
    </font>
    <font>
      <b/>
      <sz val="9"/>
      <color indexed="8"/>
      <name val="Tahoma"/>
      <family val="2"/>
      <charset val="186"/>
    </font>
    <font>
      <sz val="9"/>
      <color indexed="8"/>
      <name val="Tahoma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b/>
      <sz val="11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rgb="FFB3B3B3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8" fillId="0" borderId="0" applyBorder="0" applyProtection="0"/>
    <xf numFmtId="0" fontId="12" fillId="0" borderId="0" applyBorder="0" applyProtection="0"/>
    <xf numFmtId="0" fontId="13" fillId="0" borderId="0"/>
    <xf numFmtId="0" fontId="14" fillId="0" borderId="0"/>
    <xf numFmtId="9" fontId="13" fillId="0" borderId="0"/>
    <xf numFmtId="9" fontId="13" fillId="0" borderId="0" applyFont="0" applyFill="0" applyBorder="0" applyAlignment="0" applyProtection="0"/>
    <xf numFmtId="0" fontId="24" fillId="0" borderId="0"/>
  </cellStyleXfs>
  <cellXfs count="5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right" wrapText="1"/>
    </xf>
    <xf numFmtId="9" fontId="2" fillId="0" borderId="1" xfId="1" applyFont="1" applyFill="1" applyBorder="1"/>
    <xf numFmtId="0" fontId="0" fillId="0" borderId="0" xfId="0" applyFont="1"/>
    <xf numFmtId="0" fontId="0" fillId="0" borderId="1" xfId="0" applyFont="1" applyBorder="1"/>
    <xf numFmtId="0" fontId="4" fillId="0" borderId="0" xfId="2" applyAlignment="1" applyProtection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0" fontId="0" fillId="0" borderId="1" xfId="0" applyFont="1" applyFill="1" applyBorder="1"/>
    <xf numFmtId="4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9" fontId="2" fillId="0" borderId="0" xfId="1" applyFont="1" applyFill="1" applyBorder="1"/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4" fontId="0" fillId="0" borderId="1" xfId="0" applyNumberFormat="1" applyBorder="1"/>
    <xf numFmtId="3" fontId="6" fillId="2" borderId="1" xfId="0" applyNumberFormat="1" applyFont="1" applyFill="1" applyBorder="1"/>
    <xf numFmtId="4" fontId="6" fillId="0" borderId="1" xfId="0" applyNumberFormat="1" applyFon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3" fontId="7" fillId="0" borderId="1" xfId="0" applyNumberFormat="1" applyFont="1" applyFill="1" applyBorder="1"/>
    <xf numFmtId="9" fontId="7" fillId="0" borderId="1" xfId="1" applyFont="1" applyFill="1" applyBorder="1"/>
    <xf numFmtId="3" fontId="7" fillId="2" borderId="1" xfId="0" applyNumberFormat="1" applyFont="1" applyFill="1" applyBorder="1"/>
    <xf numFmtId="3" fontId="0" fillId="0" borderId="1" xfId="0" applyNumberFormat="1" applyBorder="1" applyAlignment="1">
      <alignment wrapText="1"/>
    </xf>
    <xf numFmtId="3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9" fontId="7" fillId="0" borderId="0" xfId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3" fontId="0" fillId="0" borderId="0" xfId="0" applyNumberFormat="1" applyAlignment="1">
      <alignment horizontal="left"/>
    </xf>
    <xf numFmtId="3" fontId="2" fillId="0" borderId="1" xfId="1" applyNumberFormat="1" applyFont="1" applyFill="1" applyBorder="1"/>
    <xf numFmtId="9" fontId="2" fillId="0" borderId="1" xfId="1" applyNumberFormat="1" applyFont="1" applyFill="1" applyBorder="1"/>
    <xf numFmtId="0" fontId="8" fillId="0" borderId="0" xfId="3"/>
    <xf numFmtId="3" fontId="8" fillId="0" borderId="0" xfId="3" applyNumberFormat="1"/>
    <xf numFmtId="0" fontId="8" fillId="5" borderId="0" xfId="3" applyFont="1" applyFill="1"/>
    <xf numFmtId="0" fontId="9" fillId="6" borderId="0" xfId="3" applyFont="1" applyFill="1" applyAlignment="1">
      <alignment wrapText="1"/>
    </xf>
    <xf numFmtId="0" fontId="8" fillId="0" borderId="0" xfId="3" applyFont="1"/>
    <xf numFmtId="3" fontId="8" fillId="0" borderId="0" xfId="3" applyNumberFormat="1" applyAlignment="1">
      <alignment horizontal="left" wrapText="1"/>
    </xf>
    <xf numFmtId="0" fontId="8" fillId="0" borderId="0" xfId="3" applyAlignment="1">
      <alignment horizontal="left" wrapText="1"/>
    </xf>
    <xf numFmtId="164" fontId="9" fillId="0" borderId="0" xfId="4" applyNumberFormat="1" applyFont="1" applyBorder="1" applyAlignment="1" applyProtection="1"/>
    <xf numFmtId="0" fontId="9" fillId="0" borderId="0" xfId="3" applyFont="1" applyBorder="1" applyAlignment="1">
      <alignment horizontal="right" wrapText="1"/>
    </xf>
    <xf numFmtId="3" fontId="9" fillId="0" borderId="1" xfId="4" applyNumberFormat="1" applyFont="1" applyBorder="1" applyAlignment="1" applyProtection="1"/>
    <xf numFmtId="0" fontId="9" fillId="0" borderId="1" xfId="3" applyFont="1" applyBorder="1" applyAlignment="1">
      <alignment horizontal="right" wrapText="1"/>
    </xf>
    <xf numFmtId="3" fontId="9" fillId="0" borderId="1" xfId="3" applyNumberFormat="1" applyFont="1" applyBorder="1"/>
    <xf numFmtId="0" fontId="9" fillId="0" borderId="1" xfId="3" applyFont="1" applyBorder="1" applyAlignment="1">
      <alignment wrapText="1"/>
    </xf>
    <xf numFmtId="3" fontId="8" fillId="0" borderId="1" xfId="3" applyNumberFormat="1" applyBorder="1"/>
    <xf numFmtId="3" fontId="8" fillId="0" borderId="1" xfId="3" applyNumberFormat="1" applyFont="1" applyBorder="1" applyAlignment="1">
      <alignment wrapText="1"/>
    </xf>
    <xf numFmtId="0" fontId="8" fillId="0" borderId="1" xfId="3" applyFont="1" applyBorder="1" applyAlignment="1">
      <alignment wrapText="1"/>
    </xf>
    <xf numFmtId="3" fontId="8" fillId="7" borderId="1" xfId="3" applyNumberFormat="1" applyFont="1" applyFill="1" applyBorder="1" applyAlignment="1">
      <alignment wrapText="1"/>
    </xf>
    <xf numFmtId="3" fontId="8" fillId="7" borderId="1" xfId="3" applyNumberFormat="1" applyFill="1" applyBorder="1" applyAlignment="1">
      <alignment wrapText="1"/>
    </xf>
    <xf numFmtId="0" fontId="8" fillId="7" borderId="1" xfId="3" applyFont="1" applyFill="1" applyBorder="1" applyAlignment="1">
      <alignment wrapText="1"/>
    </xf>
    <xf numFmtId="3" fontId="8" fillId="7" borderId="1" xfId="3" applyNumberFormat="1" applyFill="1" applyBorder="1"/>
    <xf numFmtId="3" fontId="8" fillId="0" borderId="1" xfId="3" applyNumberFormat="1" applyBorder="1" applyAlignment="1">
      <alignment wrapText="1"/>
    </xf>
    <xf numFmtId="0" fontId="8" fillId="0" borderId="1" xfId="3" applyFont="1" applyBorder="1"/>
    <xf numFmtId="0" fontId="8" fillId="7" borderId="1" xfId="3" applyFont="1" applyFill="1" applyBorder="1"/>
    <xf numFmtId="3" fontId="9" fillId="7" borderId="1" xfId="3" applyNumberFormat="1" applyFont="1" applyFill="1" applyBorder="1"/>
    <xf numFmtId="0" fontId="9" fillId="7" borderId="1" xfId="3" applyFont="1" applyFill="1" applyBorder="1" applyAlignment="1">
      <alignment wrapText="1"/>
    </xf>
    <xf numFmtId="9" fontId="9" fillId="0" borderId="1" xfId="4" applyNumberFormat="1" applyFont="1" applyBorder="1" applyAlignment="1" applyProtection="1"/>
    <xf numFmtId="3" fontId="9" fillId="4" borderId="1" xfId="3" applyNumberFormat="1" applyFont="1" applyFill="1" applyBorder="1"/>
    <xf numFmtId="3" fontId="9" fillId="0" borderId="1" xfId="3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/>
    </xf>
    <xf numFmtId="0" fontId="9" fillId="0" borderId="1" xfId="3" applyFont="1" applyBorder="1"/>
    <xf numFmtId="3" fontId="9" fillId="0" borderId="0" xfId="3" applyNumberFormat="1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right" vertical="center" wrapText="1"/>
    </xf>
    <xf numFmtId="0" fontId="9" fillId="6" borderId="0" xfId="3" applyFont="1" applyFill="1" applyAlignment="1">
      <alignment horizontal="left" vertical="center" wrapText="1"/>
    </xf>
    <xf numFmtId="0" fontId="9" fillId="6" borderId="0" xfId="3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left" wrapText="1"/>
    </xf>
    <xf numFmtId="0" fontId="8" fillId="7" borderId="0" xfId="3" applyFont="1" applyFill="1" applyBorder="1" applyAlignment="1">
      <alignment horizontal="left" wrapText="1"/>
    </xf>
    <xf numFmtId="0" fontId="8" fillId="0" borderId="0" xfId="3" applyFont="1" applyBorder="1" applyAlignment="1">
      <alignment wrapText="1"/>
    </xf>
    <xf numFmtId="1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4" fontId="0" fillId="0" borderId="0" xfId="0" applyNumberFormat="1"/>
    <xf numFmtId="0" fontId="6" fillId="0" borderId="0" xfId="0" applyFont="1" applyFill="1"/>
    <xf numFmtId="0" fontId="6" fillId="2" borderId="1" xfId="0" applyFont="1" applyFill="1" applyBorder="1" applyAlignment="1">
      <alignment wrapText="1"/>
    </xf>
    <xf numFmtId="4" fontId="2" fillId="0" borderId="1" xfId="1" applyNumberFormat="1" applyFont="1" applyFill="1" applyBorder="1"/>
    <xf numFmtId="10" fontId="2" fillId="0" borderId="1" xfId="1" applyNumberFormat="1" applyFont="1" applyFill="1" applyBorder="1"/>
    <xf numFmtId="3" fontId="6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3" fontId="11" fillId="0" borderId="2" xfId="0" applyNumberFormat="1" applyFont="1" applyBorder="1"/>
    <xf numFmtId="3" fontId="11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1" xfId="0" applyNumberFormat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0" fontId="2" fillId="3" borderId="0" xfId="0" applyFont="1" applyFill="1" applyAlignment="1">
      <alignment horizontal="left" vertical="center" wrapText="1"/>
    </xf>
    <xf numFmtId="0" fontId="13" fillId="0" borderId="0" xfId="6"/>
    <xf numFmtId="0" fontId="13" fillId="0" borderId="0" xfId="6" applyFont="1"/>
    <xf numFmtId="0" fontId="14" fillId="0" borderId="0" xfId="7" applyNumberFormat="1" applyFill="1" applyBorder="1" applyAlignment="1" applyProtection="1"/>
    <xf numFmtId="0" fontId="15" fillId="8" borderId="0" xfId="6" applyFont="1" applyFill="1" applyAlignment="1">
      <alignment wrapText="1"/>
    </xf>
    <xf numFmtId="0" fontId="13" fillId="0" borderId="0" xfId="6" applyFont="1" applyBorder="1" applyAlignment="1">
      <alignment wrapText="1"/>
    </xf>
    <xf numFmtId="0" fontId="13" fillId="0" borderId="0" xfId="6" applyFill="1"/>
    <xf numFmtId="0" fontId="13" fillId="0" borderId="0" xfId="6" applyFill="1" applyAlignment="1">
      <alignment horizontal="left" wrapText="1"/>
    </xf>
    <xf numFmtId="9" fontId="15" fillId="0" borderId="0" xfId="8" applyFont="1" applyFill="1" applyBorder="1" applyAlignment="1" applyProtection="1"/>
    <xf numFmtId="0" fontId="15" fillId="0" borderId="0" xfId="6" applyFont="1" applyFill="1" applyBorder="1" applyAlignment="1">
      <alignment horizontal="right" wrapText="1"/>
    </xf>
    <xf numFmtId="9" fontId="15" fillId="0" borderId="3" xfId="8" applyFont="1" applyFill="1" applyBorder="1" applyAlignment="1" applyProtection="1"/>
    <xf numFmtId="0" fontId="15" fillId="0" borderId="3" xfId="6" applyFont="1" applyFill="1" applyBorder="1" applyAlignment="1">
      <alignment horizontal="right" wrapText="1"/>
    </xf>
    <xf numFmtId="3" fontId="15" fillId="0" borderId="3" xfId="6" applyNumberFormat="1" applyFont="1" applyFill="1" applyBorder="1"/>
    <xf numFmtId="0" fontId="15" fillId="0" borderId="3" xfId="6" applyFont="1" applyFill="1" applyBorder="1" applyAlignment="1">
      <alignment wrapText="1"/>
    </xf>
    <xf numFmtId="3" fontId="13" fillId="0" borderId="3" xfId="6" applyNumberFormat="1" applyBorder="1"/>
    <xf numFmtId="0" fontId="13" fillId="0" borderId="3" xfId="6" applyFont="1" applyBorder="1" applyAlignment="1">
      <alignment wrapText="1"/>
    </xf>
    <xf numFmtId="4" fontId="13" fillId="0" borderId="3" xfId="6" applyNumberFormat="1" applyBorder="1" applyAlignment="1">
      <alignment wrapText="1"/>
    </xf>
    <xf numFmtId="0" fontId="13" fillId="0" borderId="3" xfId="6" applyBorder="1"/>
    <xf numFmtId="0" fontId="13" fillId="0" borderId="3" xfId="6" applyFont="1" applyBorder="1"/>
    <xf numFmtId="3" fontId="13" fillId="0" borderId="3" xfId="6" applyNumberFormat="1" applyFill="1" applyBorder="1"/>
    <xf numFmtId="0" fontId="13" fillId="0" borderId="3" xfId="6" applyFont="1" applyFill="1" applyBorder="1" applyAlignment="1">
      <alignment wrapText="1"/>
    </xf>
    <xf numFmtId="0" fontId="13" fillId="0" borderId="3" xfId="6" applyFont="1" applyFill="1" applyBorder="1"/>
    <xf numFmtId="4" fontId="13" fillId="0" borderId="3" xfId="6" applyNumberFormat="1" applyFill="1" applyBorder="1" applyAlignment="1">
      <alignment wrapText="1"/>
    </xf>
    <xf numFmtId="0" fontId="15" fillId="0" borderId="3" xfId="6" applyFont="1" applyBorder="1" applyAlignment="1">
      <alignment horizontal="center" vertical="center" wrapText="1"/>
    </xf>
    <xf numFmtId="0" fontId="15" fillId="0" borderId="3" xfId="6" applyFont="1" applyBorder="1"/>
    <xf numFmtId="0" fontId="15" fillId="0" borderId="0" xfId="6" applyFont="1" applyAlignment="1">
      <alignment horizontal="center" vertical="center" wrapText="1"/>
    </xf>
    <xf numFmtId="0" fontId="15" fillId="8" borderId="0" xfId="6" applyFont="1" applyFill="1" applyAlignment="1">
      <alignment horizontal="right" vertical="center" wrapText="1"/>
    </xf>
    <xf numFmtId="0" fontId="13" fillId="10" borderId="3" xfId="6" applyFont="1" applyFill="1" applyBorder="1"/>
    <xf numFmtId="3" fontId="13" fillId="10" borderId="3" xfId="6" applyNumberFormat="1" applyFill="1" applyBorder="1"/>
    <xf numFmtId="0" fontId="13" fillId="10" borderId="3" xfId="6" applyFont="1" applyFill="1" applyBorder="1" applyAlignment="1">
      <alignment wrapText="1"/>
    </xf>
    <xf numFmtId="0" fontId="15" fillId="10" borderId="3" xfId="6" applyFont="1" applyFill="1" applyBorder="1" applyAlignment="1">
      <alignment wrapText="1"/>
    </xf>
    <xf numFmtId="3" fontId="15" fillId="10" borderId="3" xfId="6" applyNumberFormat="1" applyFont="1" applyFill="1" applyBorder="1"/>
    <xf numFmtId="0" fontId="13" fillId="10" borderId="0" xfId="6" applyFont="1" applyFill="1" applyBorder="1" applyAlignment="1">
      <alignment horizontal="left" wrapText="1"/>
    </xf>
    <xf numFmtId="3" fontId="13" fillId="0" borderId="3" xfId="6" applyNumberFormat="1" applyFont="1" applyBorder="1" applyAlignment="1">
      <alignment wrapText="1"/>
    </xf>
    <xf numFmtId="3" fontId="13" fillId="0" borderId="3" xfId="6" applyNumberFormat="1" applyBorder="1" applyAlignment="1">
      <alignment wrapText="1"/>
    </xf>
    <xf numFmtId="3" fontId="13" fillId="10" borderId="3" xfId="6" applyNumberFormat="1" applyFont="1" applyFill="1" applyBorder="1" applyAlignment="1">
      <alignment wrapText="1"/>
    </xf>
    <xf numFmtId="3" fontId="0" fillId="4" borderId="1" xfId="0" applyNumberFormat="1" applyFill="1" applyBorder="1"/>
    <xf numFmtId="0" fontId="0" fillId="4" borderId="1" xfId="0" applyFont="1" applyFill="1" applyBorder="1"/>
    <xf numFmtId="3" fontId="0" fillId="4" borderId="1" xfId="0" applyNumberFormat="1" applyFill="1" applyBorder="1" applyAlignment="1">
      <alignment wrapText="1"/>
    </xf>
    <xf numFmtId="3" fontId="2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0" fillId="4" borderId="0" xfId="0" applyFill="1"/>
    <xf numFmtId="9" fontId="2" fillId="4" borderId="1" xfId="1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13" fillId="0" borderId="3" xfId="6" applyNumberFormat="1" applyFill="1" applyBorder="1" applyAlignment="1">
      <alignment wrapText="1"/>
    </xf>
    <xf numFmtId="3" fontId="13" fillId="0" borderId="3" xfId="6" applyNumberFormat="1" applyFont="1" applyFill="1" applyBorder="1" applyAlignment="1">
      <alignment wrapText="1"/>
    </xf>
    <xf numFmtId="0" fontId="13" fillId="0" borderId="3" xfId="6" applyFill="1" applyBorder="1" applyAlignment="1">
      <alignment wrapText="1"/>
    </xf>
    <xf numFmtId="3" fontId="15" fillId="0" borderId="3" xfId="8" applyNumberFormat="1" applyFont="1" applyFill="1" applyBorder="1" applyAlignment="1" applyProtection="1"/>
    <xf numFmtId="0" fontId="15" fillId="0" borderId="3" xfId="6" applyFont="1" applyBorder="1" applyAlignment="1">
      <alignment horizontal="center"/>
    </xf>
    <xf numFmtId="0" fontId="15" fillId="11" borderId="0" xfId="0" applyFont="1" applyFill="1" applyAlignment="1">
      <alignment wrapText="1"/>
    </xf>
    <xf numFmtId="0" fontId="0" fillId="12" borderId="0" xfId="0" applyFill="1" applyAlignment="1">
      <alignment horizontal="left" wrapText="1"/>
    </xf>
    <xf numFmtId="9" fontId="15" fillId="0" borderId="0" xfId="9" applyFont="1" applyFill="1" applyBorder="1"/>
    <xf numFmtId="0" fontId="15" fillId="0" borderId="0" xfId="0" applyFont="1" applyFill="1" applyBorder="1" applyAlignment="1">
      <alignment horizontal="right" wrapText="1"/>
    </xf>
    <xf numFmtId="9" fontId="15" fillId="0" borderId="1" xfId="9" applyFont="1" applyFill="1" applyBorder="1"/>
    <xf numFmtId="0" fontId="15" fillId="0" borderId="1" xfId="0" applyFont="1" applyFill="1" applyBorder="1" applyAlignment="1">
      <alignment horizontal="right" wrapText="1"/>
    </xf>
    <xf numFmtId="3" fontId="15" fillId="0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3" fontId="0" fillId="12" borderId="1" xfId="0" applyNumberFormat="1" applyFill="1" applyBorder="1" applyAlignment="1">
      <alignment wrapText="1"/>
    </xf>
    <xf numFmtId="0" fontId="0" fillId="12" borderId="1" xfId="0" applyFill="1" applyBorder="1" applyAlignment="1">
      <alignment wrapText="1"/>
    </xf>
    <xf numFmtId="3" fontId="0" fillId="12" borderId="1" xfId="0" applyNumberFormat="1" applyFill="1" applyBorder="1"/>
    <xf numFmtId="0" fontId="0" fillId="12" borderId="1" xfId="0" applyFill="1" applyBorder="1"/>
    <xf numFmtId="3" fontId="15" fillId="12" borderId="1" xfId="0" applyNumberFormat="1" applyFont="1" applyFill="1" applyBorder="1"/>
    <xf numFmtId="0" fontId="15" fillId="1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5" fillId="11" borderId="0" xfId="0" applyFont="1" applyFill="1" applyAlignment="1">
      <alignment horizontal="left" wrapText="1"/>
    </xf>
    <xf numFmtId="0" fontId="15" fillId="11" borderId="0" xfId="0" applyFont="1" applyFill="1" applyAlignment="1">
      <alignment horizontal="right" vertical="center" wrapText="1"/>
    </xf>
    <xf numFmtId="9" fontId="2" fillId="0" borderId="4" xfId="1" applyFont="1" applyFill="1" applyBorder="1"/>
    <xf numFmtId="0" fontId="2" fillId="0" borderId="4" xfId="0" applyFont="1" applyFill="1" applyBorder="1" applyAlignment="1">
      <alignment horizontal="right" wrapText="1"/>
    </xf>
    <xf numFmtId="3" fontId="2" fillId="0" borderId="4" xfId="0" applyNumberFormat="1" applyFont="1" applyFill="1" applyBorder="1"/>
    <xf numFmtId="0" fontId="2" fillId="0" borderId="4" xfId="0" applyFont="1" applyFill="1" applyBorder="1" applyAlignment="1">
      <alignment wrapText="1"/>
    </xf>
    <xf numFmtId="3" fontId="0" fillId="0" borderId="4" xfId="0" applyNumberFormat="1" applyBorder="1"/>
    <xf numFmtId="3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2" borderId="4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3" fontId="0" fillId="2" borderId="4" xfId="0" applyNumberFormat="1" applyFill="1" applyBorder="1"/>
    <xf numFmtId="0" fontId="0" fillId="0" borderId="4" xfId="0" applyBorder="1"/>
    <xf numFmtId="0" fontId="0" fillId="0" borderId="4" xfId="0" applyFont="1" applyBorder="1"/>
    <xf numFmtId="3" fontId="0" fillId="0" borderId="4" xfId="0" applyNumberFormat="1" applyFill="1" applyBorder="1"/>
    <xf numFmtId="3" fontId="0" fillId="0" borderId="4" xfId="0" applyNumberFormat="1" applyFill="1" applyBorder="1" applyAlignment="1">
      <alignment wrapText="1"/>
    </xf>
    <xf numFmtId="0" fontId="0" fillId="0" borderId="4" xfId="0" applyFill="1" applyBorder="1"/>
    <xf numFmtId="0" fontId="0" fillId="2" borderId="4" xfId="0" applyFill="1" applyBorder="1"/>
    <xf numFmtId="0" fontId="0" fillId="0" borderId="4" xfId="0" applyFont="1" applyBorder="1" applyAlignment="1">
      <alignment wrapText="1"/>
    </xf>
    <xf numFmtId="0" fontId="0" fillId="0" borderId="4" xfId="0" applyFont="1" applyFill="1" applyBorder="1"/>
    <xf numFmtId="0" fontId="0" fillId="0" borderId="4" xfId="0" applyFill="1" applyBorder="1" applyAlignment="1">
      <alignment wrapText="1"/>
    </xf>
    <xf numFmtId="3" fontId="2" fillId="0" borderId="4" xfId="1" applyNumberFormat="1" applyFont="1" applyFill="1" applyBorder="1"/>
    <xf numFmtId="3" fontId="2" fillId="2" borderId="4" xfId="0" applyNumberFormat="1" applyFont="1" applyFill="1" applyBorder="1"/>
    <xf numFmtId="0" fontId="2" fillId="2" borderId="4" xfId="0" applyFont="1" applyFill="1" applyBorder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3" fontId="8" fillId="0" borderId="0" xfId="3" applyNumberFormat="1" applyFont="1"/>
    <xf numFmtId="3" fontId="17" fillId="6" borderId="0" xfId="3" applyNumberFormat="1" applyFont="1" applyFill="1" applyAlignment="1">
      <alignment wrapText="1"/>
    </xf>
    <xf numFmtId="3" fontId="8" fillId="0" borderId="0" xfId="3" applyNumberFormat="1" applyFont="1" applyBorder="1" applyAlignment="1">
      <alignment wrapText="1"/>
    </xf>
    <xf numFmtId="3" fontId="17" fillId="0" borderId="0" xfId="4" applyNumberFormat="1" applyFont="1" applyBorder="1" applyAlignment="1" applyProtection="1"/>
    <xf numFmtId="3" fontId="17" fillId="0" borderId="0" xfId="3" applyNumberFormat="1" applyFont="1" applyBorder="1" applyAlignment="1">
      <alignment horizontal="right" wrapText="1"/>
    </xf>
    <xf numFmtId="3" fontId="17" fillId="0" borderId="4" xfId="3" applyNumberFormat="1" applyFont="1" applyBorder="1" applyAlignment="1">
      <alignment horizontal="right" wrapText="1"/>
    </xf>
    <xf numFmtId="3" fontId="17" fillId="0" borderId="4" xfId="3" applyNumberFormat="1" applyFont="1" applyBorder="1"/>
    <xf numFmtId="3" fontId="17" fillId="0" borderId="4" xfId="3" applyNumberFormat="1" applyFont="1" applyBorder="1" applyAlignment="1">
      <alignment wrapText="1"/>
    </xf>
    <xf numFmtId="3" fontId="8" fillId="0" borderId="4" xfId="3" applyNumberFormat="1" applyBorder="1"/>
    <xf numFmtId="3" fontId="8" fillId="0" borderId="4" xfId="3" applyNumberFormat="1" applyFont="1" applyBorder="1" applyAlignment="1">
      <alignment wrapText="1"/>
    </xf>
    <xf numFmtId="3" fontId="8" fillId="0" borderId="4" xfId="3" applyNumberFormat="1" applyFont="1" applyBorder="1"/>
    <xf numFmtId="3" fontId="17" fillId="0" borderId="4" xfId="4" applyNumberFormat="1" applyFont="1" applyBorder="1" applyAlignment="1" applyProtection="1"/>
    <xf numFmtId="9" fontId="17" fillId="0" borderId="4" xfId="4" applyNumberFormat="1" applyFont="1" applyBorder="1" applyAlignment="1" applyProtection="1"/>
    <xf numFmtId="3" fontId="17" fillId="0" borderId="4" xfId="3" applyNumberFormat="1" applyFont="1" applyBorder="1" applyAlignment="1">
      <alignment horizontal="center" vertical="center" wrapText="1"/>
    </xf>
    <xf numFmtId="1" fontId="17" fillId="0" borderId="4" xfId="3" applyNumberFormat="1" applyFont="1" applyBorder="1" applyAlignment="1">
      <alignment horizontal="center"/>
    </xf>
    <xf numFmtId="1" fontId="17" fillId="0" borderId="4" xfId="3" applyNumberFormat="1" applyFont="1" applyBorder="1" applyAlignment="1">
      <alignment horizontal="center" vertical="center" wrapText="1"/>
    </xf>
    <xf numFmtId="3" fontId="17" fillId="0" borderId="0" xfId="3" applyNumberFormat="1" applyFont="1" applyAlignment="1">
      <alignment horizontal="center" vertical="center" wrapText="1"/>
    </xf>
    <xf numFmtId="3" fontId="9" fillId="6" borderId="0" xfId="3" applyNumberFormat="1" applyFont="1" applyFill="1" applyAlignment="1">
      <alignment horizontal="left" wrapText="1"/>
    </xf>
    <xf numFmtId="3" fontId="17" fillId="6" borderId="0" xfId="3" applyNumberFormat="1" applyFont="1" applyFill="1" applyAlignment="1">
      <alignment horizontal="right" vertical="center" wrapText="1"/>
    </xf>
    <xf numFmtId="3" fontId="8" fillId="13" borderId="4" xfId="3" applyNumberFormat="1" applyFont="1" applyFill="1" applyBorder="1" applyAlignment="1">
      <alignment wrapText="1"/>
    </xf>
    <xf numFmtId="3" fontId="8" fillId="14" borderId="4" xfId="3" applyNumberFormat="1" applyFill="1" applyBorder="1"/>
    <xf numFmtId="3" fontId="8" fillId="13" borderId="4" xfId="3" applyNumberFormat="1" applyFont="1" applyFill="1" applyBorder="1"/>
    <xf numFmtId="3" fontId="17" fillId="13" borderId="4" xfId="3" applyNumberFormat="1" applyFont="1" applyFill="1" applyBorder="1" applyAlignment="1">
      <alignment wrapText="1"/>
    </xf>
    <xf numFmtId="3" fontId="17" fillId="13" borderId="4" xfId="3" applyNumberFormat="1" applyFont="1" applyFill="1" applyBorder="1"/>
    <xf numFmtId="0" fontId="19" fillId="0" borderId="0" xfId="6" applyFont="1" applyFill="1" applyBorder="1" applyAlignment="1">
      <alignment horizontal="left" indent="2"/>
    </xf>
    <xf numFmtId="0" fontId="13" fillId="0" borderId="0" xfId="6" applyFont="1" applyBorder="1" applyAlignment="1">
      <alignment horizontal="left"/>
    </xf>
    <xf numFmtId="0" fontId="19" fillId="0" borderId="0" xfId="6" applyFont="1" applyFill="1" applyBorder="1"/>
    <xf numFmtId="3" fontId="19" fillId="0" borderId="0" xfId="6" applyNumberFormat="1" applyFont="1" applyFill="1" applyBorder="1"/>
    <xf numFmtId="3" fontId="19" fillId="0" borderId="0" xfId="6" applyNumberFormat="1" applyFont="1"/>
    <xf numFmtId="9" fontId="19" fillId="0" borderId="0" xfId="8" applyFont="1" applyFill="1" applyBorder="1" applyAlignment="1" applyProtection="1"/>
    <xf numFmtId="0" fontId="19" fillId="0" borderId="0" xfId="6" applyFont="1" applyAlignment="1">
      <alignment horizontal="left"/>
    </xf>
    <xf numFmtId="0" fontId="19" fillId="0" borderId="0" xfId="6" applyFont="1"/>
    <xf numFmtId="0" fontId="19" fillId="0" borderId="0" xfId="6" applyFont="1" applyAlignment="1"/>
    <xf numFmtId="9" fontId="19" fillId="0" borderId="0" xfId="8" applyFont="1" applyFill="1" applyBorder="1" applyAlignment="1" applyProtection="1">
      <alignment vertical="center"/>
    </xf>
    <xf numFmtId="0" fontId="19" fillId="0" borderId="0" xfId="6" applyFont="1" applyBorder="1" applyAlignment="1">
      <alignment horizontal="left"/>
    </xf>
    <xf numFmtId="3" fontId="20" fillId="0" borderId="0" xfId="6" applyNumberFormat="1" applyFont="1" applyFill="1" applyBorder="1"/>
    <xf numFmtId="3" fontId="21" fillId="0" borderId="5" xfId="6" applyNumberFormat="1" applyFont="1" applyFill="1" applyBorder="1" applyAlignment="1">
      <alignment wrapText="1"/>
    </xf>
    <xf numFmtId="3" fontId="19" fillId="0" borderId="6" xfId="6" applyNumberFormat="1" applyFont="1" applyFill="1" applyBorder="1" applyAlignment="1">
      <alignment wrapText="1"/>
    </xf>
    <xf numFmtId="3" fontId="22" fillId="0" borderId="6" xfId="6" applyNumberFormat="1" applyFont="1" applyFill="1" applyBorder="1" applyAlignment="1">
      <alignment wrapText="1"/>
    </xf>
    <xf numFmtId="3" fontId="21" fillId="0" borderId="6" xfId="6" applyNumberFormat="1" applyFont="1" applyFill="1" applyBorder="1" applyAlignment="1">
      <alignment wrapText="1"/>
    </xf>
    <xf numFmtId="3" fontId="19" fillId="0" borderId="7" xfId="6" applyNumberFormat="1" applyFont="1" applyFill="1" applyBorder="1" applyAlignment="1">
      <alignment wrapText="1"/>
    </xf>
    <xf numFmtId="3" fontId="23" fillId="0" borderId="5" xfId="6" applyNumberFormat="1" applyFont="1" applyFill="1" applyBorder="1"/>
    <xf numFmtId="3" fontId="23" fillId="0" borderId="6" xfId="6" applyNumberFormat="1" applyFont="1" applyFill="1" applyBorder="1"/>
    <xf numFmtId="3" fontId="23" fillId="0" borderId="7" xfId="6" applyNumberFormat="1" applyFont="1" applyFill="1" applyBorder="1"/>
    <xf numFmtId="3" fontId="22" fillId="0" borderId="8" xfId="6" applyNumberFormat="1" applyFont="1" applyBorder="1"/>
    <xf numFmtId="3" fontId="22" fillId="0" borderId="6" xfId="6" applyNumberFormat="1" applyFont="1" applyBorder="1"/>
    <xf numFmtId="3" fontId="22" fillId="0" borderId="9" xfId="6" applyNumberFormat="1" applyFont="1" applyBorder="1"/>
    <xf numFmtId="3" fontId="22" fillId="0" borderId="10" xfId="6" applyNumberFormat="1" applyFont="1" applyBorder="1"/>
    <xf numFmtId="3" fontId="22" fillId="0" borderId="11" xfId="10" applyNumberFormat="1" applyFont="1" applyBorder="1"/>
    <xf numFmtId="3" fontId="22" fillId="0" borderId="12" xfId="10" applyNumberFormat="1" applyFont="1" applyBorder="1"/>
    <xf numFmtId="3" fontId="22" fillId="0" borderId="13" xfId="10" applyNumberFormat="1" applyFont="1" applyBorder="1"/>
    <xf numFmtId="3" fontId="22" fillId="0" borderId="12" xfId="6" applyNumberFormat="1" applyFont="1" applyBorder="1"/>
    <xf numFmtId="3" fontId="22" fillId="0" borderId="13" xfId="6" applyNumberFormat="1" applyFont="1" applyBorder="1"/>
    <xf numFmtId="3" fontId="22" fillId="0" borderId="11" xfId="6" applyNumberFormat="1" applyFont="1" applyBorder="1"/>
    <xf numFmtId="0" fontId="23" fillId="0" borderId="8" xfId="6" applyFont="1" applyFill="1" applyBorder="1" applyAlignment="1">
      <alignment horizontal="center" wrapText="1"/>
    </xf>
    <xf numFmtId="3" fontId="21" fillId="0" borderId="14" xfId="6" applyNumberFormat="1" applyFont="1" applyFill="1" applyBorder="1" applyAlignment="1">
      <alignment wrapText="1"/>
    </xf>
    <xf numFmtId="3" fontId="19" fillId="0" borderId="0" xfId="6" applyNumberFormat="1" applyFont="1" applyFill="1" applyBorder="1" applyAlignment="1">
      <alignment wrapText="1"/>
    </xf>
    <xf numFmtId="3" fontId="22" fillId="0" borderId="0" xfId="6" applyNumberFormat="1" applyFont="1" applyFill="1" applyBorder="1" applyAlignment="1">
      <alignment wrapText="1"/>
    </xf>
    <xf numFmtId="3" fontId="21" fillId="0" borderId="0" xfId="6" applyNumberFormat="1" applyFont="1" applyFill="1" applyBorder="1" applyAlignment="1">
      <alignment wrapText="1"/>
    </xf>
    <xf numFmtId="3" fontId="19" fillId="0" borderId="15" xfId="6" applyNumberFormat="1" applyFont="1" applyFill="1" applyBorder="1" applyAlignment="1">
      <alignment wrapText="1"/>
    </xf>
    <xf numFmtId="3" fontId="23" fillId="0" borderId="14" xfId="6" applyNumberFormat="1" applyFont="1" applyFill="1" applyBorder="1"/>
    <xf numFmtId="3" fontId="23" fillId="0" borderId="0" xfId="6" applyNumberFormat="1" applyFont="1" applyFill="1" applyBorder="1"/>
    <xf numFmtId="3" fontId="23" fillId="0" borderId="15" xfId="6" applyNumberFormat="1" applyFont="1" applyFill="1" applyBorder="1"/>
    <xf numFmtId="3" fontId="22" fillId="0" borderId="16" xfId="6" applyNumberFormat="1" applyFont="1" applyBorder="1"/>
    <xf numFmtId="3" fontId="22" fillId="0" borderId="0" xfId="6" applyNumberFormat="1" applyFont="1" applyBorder="1"/>
    <xf numFmtId="3" fontId="22" fillId="0" borderId="17" xfId="6" applyNumberFormat="1" applyFont="1" applyBorder="1"/>
    <xf numFmtId="3" fontId="22" fillId="0" borderId="18" xfId="6" applyNumberFormat="1" applyFont="1" applyBorder="1"/>
    <xf numFmtId="3" fontId="22" fillId="0" borderId="19" xfId="10" applyNumberFormat="1" applyFont="1" applyBorder="1"/>
    <xf numFmtId="3" fontId="22" fillId="0" borderId="20" xfId="10" applyNumberFormat="1" applyFont="1" applyBorder="1"/>
    <xf numFmtId="3" fontId="22" fillId="0" borderId="21" xfId="10" applyNumberFormat="1" applyFont="1" applyBorder="1"/>
    <xf numFmtId="3" fontId="22" fillId="0" borderId="20" xfId="6" applyNumberFormat="1" applyFont="1" applyBorder="1"/>
    <xf numFmtId="3" fontId="22" fillId="0" borderId="21" xfId="6" applyNumberFormat="1" applyFont="1" applyBorder="1"/>
    <xf numFmtId="3" fontId="22" fillId="0" borderId="19" xfId="6" applyNumberFormat="1" applyFont="1" applyFill="1" applyBorder="1"/>
    <xf numFmtId="0" fontId="23" fillId="0" borderId="16" xfId="6" applyFont="1" applyFill="1" applyBorder="1" applyAlignment="1">
      <alignment horizontal="center" wrapText="1"/>
    </xf>
    <xf numFmtId="3" fontId="22" fillId="0" borderId="19" xfId="6" applyNumberFormat="1" applyFont="1" applyBorder="1"/>
    <xf numFmtId="0" fontId="21" fillId="0" borderId="0" xfId="6" applyFont="1" applyFill="1" applyBorder="1"/>
    <xf numFmtId="3" fontId="21" fillId="0" borderId="0" xfId="6" applyNumberFormat="1" applyFont="1" applyFill="1" applyBorder="1"/>
    <xf numFmtId="3" fontId="21" fillId="0" borderId="15" xfId="6" applyNumberFormat="1" applyFont="1" applyFill="1" applyBorder="1" applyAlignment="1">
      <alignment wrapText="1"/>
    </xf>
    <xf numFmtId="3" fontId="25" fillId="0" borderId="14" xfId="6" applyNumberFormat="1" applyFont="1" applyFill="1" applyBorder="1"/>
    <xf numFmtId="3" fontId="25" fillId="0" borderId="0" xfId="6" applyNumberFormat="1" applyFont="1" applyFill="1" applyBorder="1"/>
    <xf numFmtId="3" fontId="25" fillId="0" borderId="15" xfId="6" applyNumberFormat="1" applyFont="1" applyFill="1" applyBorder="1"/>
    <xf numFmtId="3" fontId="21" fillId="0" borderId="16" xfId="6" applyNumberFormat="1" applyFont="1" applyBorder="1"/>
    <xf numFmtId="3" fontId="21" fillId="0" borderId="0" xfId="6" applyNumberFormat="1" applyFont="1" applyBorder="1"/>
    <xf numFmtId="3" fontId="21" fillId="0" borderId="17" xfId="6" applyNumberFormat="1" applyFont="1" applyBorder="1"/>
    <xf numFmtId="3" fontId="21" fillId="0" borderId="18" xfId="6" applyNumberFormat="1" applyFont="1" applyBorder="1"/>
    <xf numFmtId="3" fontId="21" fillId="0" borderId="19" xfId="10" applyNumberFormat="1" applyFont="1" applyBorder="1"/>
    <xf numFmtId="3" fontId="21" fillId="0" borderId="20" xfId="10" applyNumberFormat="1" applyFont="1" applyBorder="1"/>
    <xf numFmtId="3" fontId="21" fillId="0" borderId="21" xfId="10" applyNumberFormat="1" applyFont="1" applyBorder="1"/>
    <xf numFmtId="3" fontId="21" fillId="0" borderId="20" xfId="6" applyNumberFormat="1" applyFont="1" applyBorder="1"/>
    <xf numFmtId="3" fontId="21" fillId="0" borderId="21" xfId="6" applyNumberFormat="1" applyFont="1" applyBorder="1"/>
    <xf numFmtId="3" fontId="21" fillId="0" borderId="19" xfId="6" applyNumberFormat="1" applyFont="1" applyBorder="1"/>
    <xf numFmtId="0" fontId="25" fillId="0" borderId="16" xfId="6" applyFont="1" applyFill="1" applyBorder="1" applyAlignment="1">
      <alignment horizontal="center" wrapText="1"/>
    </xf>
    <xf numFmtId="0" fontId="21" fillId="0" borderId="0" xfId="6" applyFont="1"/>
    <xf numFmtId="0" fontId="21" fillId="0" borderId="0" xfId="6" applyFont="1" applyAlignment="1"/>
    <xf numFmtId="3" fontId="23" fillId="9" borderId="16" xfId="6" applyNumberFormat="1" applyFont="1" applyFill="1" applyBorder="1" applyAlignment="1">
      <alignment horizontal="center" wrapText="1"/>
    </xf>
    <xf numFmtId="0" fontId="25" fillId="0" borderId="22" xfId="6" applyFont="1" applyFill="1" applyBorder="1" applyAlignment="1">
      <alignment horizontal="center" wrapText="1"/>
    </xf>
    <xf numFmtId="0" fontId="21" fillId="15" borderId="23" xfId="6" applyFont="1" applyFill="1" applyBorder="1" applyAlignment="1">
      <alignment horizontal="center" vertical="center" wrapText="1"/>
    </xf>
    <xf numFmtId="0" fontId="22" fillId="16" borderId="24" xfId="6" applyFont="1" applyFill="1" applyBorder="1" applyAlignment="1">
      <alignment horizontal="center" vertical="center" wrapText="1"/>
    </xf>
    <xf numFmtId="0" fontId="22" fillId="15" borderId="25" xfId="6" applyFont="1" applyFill="1" applyBorder="1" applyAlignment="1">
      <alignment horizontal="center" vertical="center" wrapText="1"/>
    </xf>
    <xf numFmtId="0" fontId="21" fillId="15" borderId="25" xfId="6" applyFont="1" applyFill="1" applyBorder="1" applyAlignment="1">
      <alignment horizontal="center" vertical="center" wrapText="1"/>
    </xf>
    <xf numFmtId="0" fontId="22" fillId="15" borderId="26" xfId="6" applyFont="1" applyFill="1" applyBorder="1" applyAlignment="1">
      <alignment horizontal="center" vertical="center" wrapText="1"/>
    </xf>
    <xf numFmtId="0" fontId="19" fillId="0" borderId="23" xfId="6" applyFont="1" applyBorder="1" applyAlignment="1">
      <alignment horizontal="center" vertical="center" wrapText="1"/>
    </xf>
    <xf numFmtId="0" fontId="19" fillId="0" borderId="25" xfId="6" applyFont="1" applyBorder="1" applyAlignment="1">
      <alignment horizontal="center" vertical="center" wrapText="1"/>
    </xf>
    <xf numFmtId="0" fontId="19" fillId="0" borderId="26" xfId="6" applyFont="1" applyBorder="1" applyAlignment="1">
      <alignment horizontal="center" vertical="center" wrapText="1"/>
    </xf>
    <xf numFmtId="0" fontId="19" fillId="0" borderId="26" xfId="6" applyFont="1" applyFill="1" applyBorder="1" applyAlignment="1">
      <alignment horizontal="center" vertical="center" wrapText="1"/>
    </xf>
    <xf numFmtId="0" fontId="19" fillId="0" borderId="9" xfId="6" applyFont="1" applyFill="1" applyBorder="1" applyAlignment="1">
      <alignment horizontal="center" vertical="center" wrapText="1"/>
    </xf>
    <xf numFmtId="0" fontId="19" fillId="0" borderId="10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 wrapText="1"/>
    </xf>
    <xf numFmtId="0" fontId="19" fillId="0" borderId="6" xfId="6" applyFont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0" fontId="19" fillId="0" borderId="27" xfId="6" applyFont="1" applyBorder="1" applyAlignment="1">
      <alignment horizontal="center" vertical="center" wrapText="1"/>
    </xf>
    <xf numFmtId="0" fontId="19" fillId="0" borderId="12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10" xfId="6" applyFont="1" applyBorder="1" applyAlignment="1">
      <alignment horizontal="center" vertical="center" wrapText="1"/>
    </xf>
    <xf numFmtId="0" fontId="19" fillId="0" borderId="7" xfId="6" applyFont="1" applyBorder="1" applyAlignment="1">
      <alignment horizontal="center" vertical="center" wrapText="1"/>
    </xf>
    <xf numFmtId="0" fontId="20" fillId="0" borderId="27" xfId="6" applyFont="1" applyBorder="1" applyAlignment="1">
      <alignment wrapText="1"/>
    </xf>
    <xf numFmtId="0" fontId="19" fillId="0" borderId="28" xfId="6" applyFont="1" applyBorder="1" applyAlignment="1">
      <alignment horizontal="center" vertical="center" wrapText="1"/>
    </xf>
    <xf numFmtId="0" fontId="19" fillId="0" borderId="29" xfId="6" applyFont="1" applyBorder="1" applyAlignment="1">
      <alignment horizontal="center" vertical="center" wrapText="1"/>
    </xf>
    <xf numFmtId="0" fontId="20" fillId="0" borderId="0" xfId="6" applyFont="1" applyFill="1" applyBorder="1" applyAlignment="1">
      <alignment horizontal="left"/>
    </xf>
    <xf numFmtId="0" fontId="26" fillId="0" borderId="0" xfId="6" applyFont="1" applyFill="1" applyBorder="1" applyAlignment="1">
      <alignment horizontal="left"/>
    </xf>
    <xf numFmtId="0" fontId="27" fillId="0" borderId="0" xfId="6" applyFont="1"/>
    <xf numFmtId="0" fontId="28" fillId="0" borderId="0" xfId="6" applyFont="1"/>
    <xf numFmtId="0" fontId="20" fillId="17" borderId="27" xfId="6" applyFont="1" applyFill="1" applyBorder="1" applyAlignment="1">
      <alignment horizontal="left"/>
    </xf>
    <xf numFmtId="0" fontId="15" fillId="0" borderId="0" xfId="6" applyFont="1"/>
    <xf numFmtId="0" fontId="12" fillId="0" borderId="0" xfId="5" applyFont="1" applyBorder="1" applyAlignment="1" applyProtection="1"/>
    <xf numFmtId="9" fontId="9" fillId="0" borderId="0" xfId="4" applyFont="1" applyBorder="1" applyAlignment="1" applyProtection="1"/>
    <xf numFmtId="9" fontId="9" fillId="0" borderId="4" xfId="4" applyFont="1" applyBorder="1" applyAlignment="1" applyProtection="1"/>
    <xf numFmtId="0" fontId="9" fillId="0" borderId="4" xfId="3" applyFont="1" applyBorder="1" applyAlignment="1">
      <alignment horizontal="right" wrapText="1"/>
    </xf>
    <xf numFmtId="3" fontId="9" fillId="0" borderId="4" xfId="3" applyNumberFormat="1" applyFont="1" applyBorder="1"/>
    <xf numFmtId="0" fontId="9" fillId="0" borderId="4" xfId="3" applyFont="1" applyBorder="1" applyAlignment="1">
      <alignment wrapText="1"/>
    </xf>
    <xf numFmtId="0" fontId="8" fillId="0" borderId="4" xfId="3" applyFont="1" applyBorder="1" applyAlignment="1">
      <alignment wrapText="1"/>
    </xf>
    <xf numFmtId="3" fontId="8" fillId="7" borderId="4" xfId="3" applyNumberFormat="1" applyFont="1" applyFill="1" applyBorder="1" applyAlignment="1">
      <alignment wrapText="1"/>
    </xf>
    <xf numFmtId="0" fontId="8" fillId="7" borderId="4" xfId="3" applyFont="1" applyFill="1" applyBorder="1" applyAlignment="1">
      <alignment wrapText="1"/>
    </xf>
    <xf numFmtId="3" fontId="8" fillId="7" borderId="4" xfId="3" applyNumberFormat="1" applyFill="1" applyBorder="1"/>
    <xf numFmtId="3" fontId="8" fillId="0" borderId="4" xfId="3" applyNumberFormat="1" applyBorder="1" applyAlignment="1">
      <alignment wrapText="1"/>
    </xf>
    <xf numFmtId="0" fontId="8" fillId="0" borderId="4" xfId="3" applyBorder="1"/>
    <xf numFmtId="0" fontId="8" fillId="0" borderId="4" xfId="3" applyFont="1" applyBorder="1"/>
    <xf numFmtId="0" fontId="8" fillId="7" borderId="4" xfId="3" applyFont="1" applyFill="1" applyBorder="1"/>
    <xf numFmtId="3" fontId="9" fillId="0" borderId="4" xfId="4" applyNumberFormat="1" applyFont="1" applyBorder="1" applyAlignment="1" applyProtection="1"/>
    <xf numFmtId="3" fontId="9" fillId="7" borderId="4" xfId="3" applyNumberFormat="1" applyFont="1" applyFill="1" applyBorder="1"/>
    <xf numFmtId="0" fontId="9" fillId="7" borderId="4" xfId="3" applyFont="1" applyFill="1" applyBorder="1" applyAlignment="1">
      <alignment wrapText="1"/>
    </xf>
    <xf numFmtId="9" fontId="9" fillId="0" borderId="4" xfId="4" applyNumberFormat="1" applyFont="1" applyBorder="1" applyAlignment="1" applyProtection="1"/>
    <xf numFmtId="3" fontId="9" fillId="0" borderId="4" xfId="3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/>
    </xf>
    <xf numFmtId="0" fontId="9" fillId="0" borderId="4" xfId="3" applyFont="1" applyBorder="1"/>
    <xf numFmtId="0" fontId="31" fillId="18" borderId="0" xfId="0" applyFont="1" applyFill="1"/>
    <xf numFmtId="3" fontId="31" fillId="18" borderId="4" xfId="0" applyNumberFormat="1" applyFont="1" applyFill="1" applyBorder="1"/>
    <xf numFmtId="3" fontId="31" fillId="18" borderId="4" xfId="0" applyNumberFormat="1" applyFont="1" applyFill="1" applyBorder="1" applyAlignment="1">
      <alignment wrapText="1"/>
    </xf>
    <xf numFmtId="0" fontId="31" fillId="18" borderId="4" xfId="0" applyFont="1" applyFill="1" applyBorder="1"/>
    <xf numFmtId="0" fontId="31" fillId="19" borderId="0" xfId="0" applyFont="1" applyFill="1"/>
    <xf numFmtId="3" fontId="31" fillId="19" borderId="4" xfId="0" applyNumberFormat="1" applyFont="1" applyFill="1" applyBorder="1"/>
    <xf numFmtId="3" fontId="31" fillId="19" borderId="4" xfId="0" applyNumberFormat="1" applyFont="1" applyFill="1" applyBorder="1" applyAlignment="1">
      <alignment wrapText="1"/>
    </xf>
    <xf numFmtId="0" fontId="31" fillId="19" borderId="4" xfId="0" applyFont="1" applyFill="1" applyBorder="1" applyAlignment="1">
      <alignment wrapText="1"/>
    </xf>
    <xf numFmtId="0" fontId="31" fillId="19" borderId="4" xfId="0" applyFont="1" applyFill="1" applyBorder="1"/>
    <xf numFmtId="0" fontId="31" fillId="18" borderId="4" xfId="0" applyFont="1" applyFill="1" applyBorder="1" applyAlignment="1">
      <alignment wrapText="1"/>
    </xf>
    <xf numFmtId="3" fontId="7" fillId="0" borderId="4" xfId="0" applyNumberFormat="1" applyFont="1" applyFill="1" applyBorder="1"/>
    <xf numFmtId="165" fontId="2" fillId="0" borderId="4" xfId="1" applyNumberFormat="1" applyFont="1" applyFill="1" applyBorder="1"/>
    <xf numFmtId="3" fontId="6" fillId="2" borderId="4" xfId="0" applyNumberFormat="1" applyFont="1" applyFill="1" applyBorder="1"/>
    <xf numFmtId="3" fontId="6" fillId="0" borderId="4" xfId="0" applyNumberFormat="1" applyFont="1" applyBorder="1"/>
    <xf numFmtId="3" fontId="6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5" fillId="0" borderId="0" xfId="0" applyNumberFormat="1" applyFont="1"/>
    <xf numFmtId="3" fontId="6" fillId="0" borderId="4" xfId="0" applyNumberFormat="1" applyFont="1" applyFill="1" applyBorder="1"/>
    <xf numFmtId="0" fontId="6" fillId="0" borderId="4" xfId="0" applyFont="1" applyFill="1" applyBorder="1" applyAlignment="1">
      <alignment wrapText="1"/>
    </xf>
    <xf numFmtId="3" fontId="0" fillId="4" borderId="4" xfId="0" applyNumberFormat="1" applyFill="1" applyBorder="1"/>
    <xf numFmtId="3" fontId="0" fillId="4" borderId="4" xfId="0" applyNumberForma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4" xfId="0" applyFill="1" applyBorder="1"/>
    <xf numFmtId="0" fontId="6" fillId="0" borderId="4" xfId="0" applyFont="1" applyBorder="1" applyAlignment="1">
      <alignment wrapText="1"/>
    </xf>
    <xf numFmtId="9" fontId="2" fillId="0" borderId="4" xfId="1" applyNumberFormat="1" applyFont="1" applyFill="1" applyBorder="1"/>
    <xf numFmtId="0" fontId="0" fillId="4" borderId="4" xfId="0" applyFont="1" applyFill="1" applyBorder="1"/>
    <xf numFmtId="3" fontId="5" fillId="0" borderId="4" xfId="0" applyNumberFormat="1" applyFont="1" applyBorder="1"/>
    <xf numFmtId="3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3" applyFont="1" applyFill="1" applyAlignment="1">
      <alignment wrapText="1"/>
    </xf>
    <xf numFmtId="0" fontId="2" fillId="0" borderId="0" xfId="0" applyFont="1" applyAlignment="1">
      <alignment wrapText="1"/>
    </xf>
    <xf numFmtId="3" fontId="2" fillId="4" borderId="4" xfId="0" applyNumberFormat="1" applyFont="1" applyFill="1" applyBorder="1"/>
    <xf numFmtId="0" fontId="2" fillId="4" borderId="4" xfId="0" applyFont="1" applyFill="1" applyBorder="1" applyAlignment="1">
      <alignment wrapText="1"/>
    </xf>
    <xf numFmtId="3" fontId="0" fillId="0" borderId="30" xfId="0" applyNumberFormat="1" applyBorder="1"/>
    <xf numFmtId="3" fontId="0" fillId="0" borderId="31" xfId="0" applyNumberFormat="1" applyBorder="1"/>
    <xf numFmtId="3" fontId="0" fillId="0" borderId="31" xfId="0" applyNumberFormat="1" applyBorder="1" applyAlignment="1">
      <alignment wrapText="1"/>
    </xf>
    <xf numFmtId="3" fontId="0" fillId="2" borderId="31" xfId="0" applyNumberFormat="1" applyFill="1" applyBorder="1"/>
    <xf numFmtId="0" fontId="0" fillId="0" borderId="31" xfId="0" applyBorder="1"/>
    <xf numFmtId="0" fontId="2" fillId="4" borderId="4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3" fillId="0" borderId="0" xfId="0" applyFont="1" applyFill="1" applyBorder="1" applyAlignment="1">
      <alignment horizontal="left" indent="2"/>
    </xf>
    <xf numFmtId="0" fontId="0" fillId="0" borderId="0" xfId="0" applyAlignment="1">
      <alignment horizontal="left"/>
    </xf>
    <xf numFmtId="0" fontId="33" fillId="0" borderId="0" xfId="0" applyFont="1" applyFill="1" applyBorder="1"/>
    <xf numFmtId="3" fontId="33" fillId="0" borderId="0" xfId="0" applyNumberFormat="1" applyFont="1" applyFill="1" applyBorder="1"/>
    <xf numFmtId="3" fontId="33" fillId="0" borderId="0" xfId="0" applyNumberFormat="1" applyFont="1"/>
    <xf numFmtId="9" fontId="33" fillId="0" borderId="0" xfId="1" applyFont="1"/>
    <xf numFmtId="0" fontId="33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/>
    <xf numFmtId="9" fontId="33" fillId="0" borderId="0" xfId="1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3" fontId="34" fillId="0" borderId="0" xfId="0" applyNumberFormat="1" applyFont="1" applyFill="1" applyBorder="1"/>
    <xf numFmtId="3" fontId="21" fillId="20" borderId="32" xfId="0" applyNumberFormat="1" applyFont="1" applyFill="1" applyBorder="1" applyAlignment="1">
      <alignment wrapText="1"/>
    </xf>
    <xf numFmtId="3" fontId="33" fillId="20" borderId="33" xfId="0" applyNumberFormat="1" applyFont="1" applyFill="1" applyBorder="1" applyAlignment="1">
      <alignment wrapText="1"/>
    </xf>
    <xf numFmtId="3" fontId="22" fillId="20" borderId="33" xfId="0" applyNumberFormat="1" applyFont="1" applyFill="1" applyBorder="1" applyAlignment="1">
      <alignment wrapText="1"/>
    </xf>
    <xf numFmtId="3" fontId="21" fillId="20" borderId="33" xfId="0" applyNumberFormat="1" applyFont="1" applyFill="1" applyBorder="1" applyAlignment="1">
      <alignment wrapText="1"/>
    </xf>
    <xf numFmtId="3" fontId="33" fillId="20" borderId="34" xfId="0" applyNumberFormat="1" applyFont="1" applyFill="1" applyBorder="1" applyAlignment="1">
      <alignment wrapText="1"/>
    </xf>
    <xf numFmtId="3" fontId="23" fillId="20" borderId="32" xfId="0" applyNumberFormat="1" applyFont="1" applyFill="1" applyBorder="1"/>
    <xf numFmtId="3" fontId="23" fillId="20" borderId="33" xfId="0" applyNumberFormat="1" applyFont="1" applyFill="1" applyBorder="1"/>
    <xf numFmtId="3" fontId="23" fillId="20" borderId="34" xfId="0" applyNumberFormat="1" applyFont="1" applyFill="1" applyBorder="1"/>
    <xf numFmtId="3" fontId="22" fillId="20" borderId="35" xfId="0" applyNumberFormat="1" applyFont="1" applyFill="1" applyBorder="1"/>
    <xf numFmtId="3" fontId="22" fillId="20" borderId="33" xfId="0" applyNumberFormat="1" applyFont="1" applyFill="1" applyBorder="1"/>
    <xf numFmtId="3" fontId="22" fillId="20" borderId="36" xfId="0" applyNumberFormat="1" applyFont="1" applyFill="1" applyBorder="1"/>
    <xf numFmtId="3" fontId="22" fillId="20" borderId="37" xfId="0" applyNumberFormat="1" applyFont="1" applyFill="1" applyBorder="1"/>
    <xf numFmtId="3" fontId="22" fillId="20" borderId="38" xfId="0" applyNumberFormat="1" applyFont="1" applyFill="1" applyBorder="1"/>
    <xf numFmtId="3" fontId="22" fillId="20" borderId="39" xfId="0" applyNumberFormat="1" applyFont="1" applyFill="1" applyBorder="1"/>
    <xf numFmtId="3" fontId="22" fillId="20" borderId="40" xfId="0" applyNumberFormat="1" applyFont="1" applyFill="1" applyBorder="1"/>
    <xf numFmtId="0" fontId="23" fillId="20" borderId="35" xfId="0" applyFont="1" applyFill="1" applyBorder="1" applyAlignment="1">
      <alignment horizontal="center" wrapText="1"/>
    </xf>
    <xf numFmtId="3" fontId="21" fillId="20" borderId="41" xfId="0" applyNumberFormat="1" applyFont="1" applyFill="1" applyBorder="1" applyAlignment="1">
      <alignment wrapText="1"/>
    </xf>
    <xf numFmtId="3" fontId="33" fillId="20" borderId="0" xfId="0" applyNumberFormat="1" applyFont="1" applyFill="1" applyBorder="1" applyAlignment="1">
      <alignment wrapText="1"/>
    </xf>
    <xf numFmtId="3" fontId="22" fillId="20" borderId="0" xfId="0" applyNumberFormat="1" applyFont="1" applyFill="1" applyBorder="1" applyAlignment="1">
      <alignment wrapText="1"/>
    </xf>
    <xf numFmtId="3" fontId="21" fillId="20" borderId="0" xfId="0" applyNumberFormat="1" applyFont="1" applyFill="1" applyBorder="1" applyAlignment="1">
      <alignment wrapText="1"/>
    </xf>
    <xf numFmtId="3" fontId="33" fillId="20" borderId="42" xfId="0" applyNumberFormat="1" applyFont="1" applyFill="1" applyBorder="1" applyAlignment="1">
      <alignment wrapText="1"/>
    </xf>
    <xf numFmtId="3" fontId="23" fillId="20" borderId="41" xfId="0" applyNumberFormat="1" applyFont="1" applyFill="1" applyBorder="1"/>
    <xf numFmtId="3" fontId="23" fillId="20" borderId="0" xfId="0" applyNumberFormat="1" applyFont="1" applyFill="1" applyBorder="1"/>
    <xf numFmtId="3" fontId="23" fillId="20" borderId="42" xfId="0" applyNumberFormat="1" applyFont="1" applyFill="1" applyBorder="1"/>
    <xf numFmtId="3" fontId="22" fillId="20" borderId="43" xfId="0" applyNumberFormat="1" applyFont="1" applyFill="1" applyBorder="1"/>
    <xf numFmtId="3" fontId="22" fillId="20" borderId="0" xfId="0" applyNumberFormat="1" applyFont="1" applyFill="1" applyBorder="1"/>
    <xf numFmtId="3" fontId="22" fillId="20" borderId="44" xfId="0" applyNumberFormat="1" applyFont="1" applyFill="1" applyBorder="1"/>
    <xf numFmtId="3" fontId="22" fillId="20" borderId="45" xfId="0" applyNumberFormat="1" applyFont="1" applyFill="1" applyBorder="1"/>
    <xf numFmtId="3" fontId="22" fillId="20" borderId="46" xfId="0" applyNumberFormat="1" applyFont="1" applyFill="1" applyBorder="1"/>
    <xf numFmtId="3" fontId="22" fillId="20" borderId="47" xfId="0" applyNumberFormat="1" applyFont="1" applyFill="1" applyBorder="1"/>
    <xf numFmtId="3" fontId="22" fillId="20" borderId="48" xfId="0" applyNumberFormat="1" applyFont="1" applyFill="1" applyBorder="1"/>
    <xf numFmtId="0" fontId="23" fillId="20" borderId="43" xfId="0" applyFont="1" applyFill="1" applyBorder="1" applyAlignment="1">
      <alignment horizontal="center" wrapText="1"/>
    </xf>
    <xf numFmtId="3" fontId="21" fillId="0" borderId="41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3" fontId="33" fillId="0" borderId="42" xfId="0" applyNumberFormat="1" applyFont="1" applyFill="1" applyBorder="1" applyAlignment="1">
      <alignment wrapText="1"/>
    </xf>
    <xf numFmtId="3" fontId="23" fillId="0" borderId="41" xfId="0" applyNumberFormat="1" applyFont="1" applyBorder="1"/>
    <xf numFmtId="3" fontId="23" fillId="0" borderId="0" xfId="0" applyNumberFormat="1" applyFont="1" applyBorder="1"/>
    <xf numFmtId="3" fontId="23" fillId="0" borderId="42" xfId="0" applyNumberFormat="1" applyFont="1" applyBorder="1"/>
    <xf numFmtId="3" fontId="22" fillId="0" borderId="43" xfId="0" applyNumberFormat="1" applyFont="1" applyBorder="1"/>
    <xf numFmtId="3" fontId="22" fillId="0" borderId="0" xfId="0" applyNumberFormat="1" applyFont="1" applyBorder="1"/>
    <xf numFmtId="3" fontId="22" fillId="0" borderId="44" xfId="0" applyNumberFormat="1" applyFont="1" applyBorder="1"/>
    <xf numFmtId="3" fontId="22" fillId="0" borderId="45" xfId="0" applyNumberFormat="1" applyFont="1" applyBorder="1"/>
    <xf numFmtId="3" fontId="22" fillId="0" borderId="46" xfId="0" applyNumberFormat="1" applyFont="1" applyBorder="1"/>
    <xf numFmtId="3" fontId="22" fillId="0" borderId="47" xfId="0" applyNumberFormat="1" applyFont="1" applyBorder="1"/>
    <xf numFmtId="3" fontId="22" fillId="0" borderId="48" xfId="0" applyNumberFormat="1" applyFont="1" applyBorder="1"/>
    <xf numFmtId="0" fontId="23" fillId="0" borderId="43" xfId="0" applyFont="1" applyFill="1" applyBorder="1" applyAlignment="1">
      <alignment horizontal="center" wrapText="1"/>
    </xf>
    <xf numFmtId="3" fontId="33" fillId="0" borderId="49" xfId="0" applyNumberFormat="1" applyFont="1" applyFill="1" applyBorder="1" applyAlignment="1">
      <alignment wrapText="1"/>
    </xf>
    <xf numFmtId="3" fontId="25" fillId="0" borderId="41" xfId="0" applyNumberFormat="1" applyFont="1" applyBorder="1"/>
    <xf numFmtId="3" fontId="25" fillId="0" borderId="0" xfId="0" applyNumberFormat="1" applyFont="1" applyBorder="1"/>
    <xf numFmtId="3" fontId="25" fillId="0" borderId="42" xfId="0" applyNumberFormat="1" applyFont="1" applyBorder="1"/>
    <xf numFmtId="0" fontId="21" fillId="0" borderId="43" xfId="0" applyFont="1" applyFill="1" applyBorder="1" applyAlignment="1">
      <alignment horizontal="center" wrapText="1"/>
    </xf>
    <xf numFmtId="3" fontId="21" fillId="0" borderId="43" xfId="0" applyNumberFormat="1" applyFont="1" applyBorder="1"/>
    <xf numFmtId="3" fontId="21" fillId="0" borderId="0" xfId="0" applyNumberFormat="1" applyFont="1" applyBorder="1"/>
    <xf numFmtId="3" fontId="21" fillId="0" borderId="44" xfId="0" applyNumberFormat="1" applyFont="1" applyBorder="1"/>
    <xf numFmtId="3" fontId="21" fillId="0" borderId="45" xfId="0" applyNumberFormat="1" applyFont="1" applyBorder="1"/>
    <xf numFmtId="3" fontId="21" fillId="0" borderId="46" xfId="0" applyNumberFormat="1" applyFont="1" applyBorder="1"/>
    <xf numFmtId="3" fontId="21" fillId="0" borderId="47" xfId="0" applyNumberFormat="1" applyFont="1" applyBorder="1"/>
    <xf numFmtId="3" fontId="21" fillId="0" borderId="48" xfId="0" applyNumberFormat="1" applyFont="1" applyBorder="1"/>
    <xf numFmtId="0" fontId="35" fillId="0" borderId="0" xfId="0" applyFont="1" applyFill="1" applyBorder="1"/>
    <xf numFmtId="3" fontId="21" fillId="0" borderId="41" xfId="0" applyNumberFormat="1" applyFont="1" applyBorder="1"/>
    <xf numFmtId="3" fontId="21" fillId="0" borderId="42" xfId="0" applyNumberFormat="1" applyFont="1" applyBorder="1"/>
    <xf numFmtId="0" fontId="34" fillId="0" borderId="0" xfId="0" applyFont="1" applyFill="1" applyBorder="1"/>
    <xf numFmtId="3" fontId="23" fillId="0" borderId="41" xfId="0" applyNumberFormat="1" applyFont="1" applyBorder="1" applyAlignment="1">
      <alignment wrapText="1"/>
    </xf>
    <xf numFmtId="0" fontId="21" fillId="21" borderId="41" xfId="0" applyFont="1" applyFill="1" applyBorder="1" applyAlignment="1">
      <alignment horizontal="center" vertical="center" wrapText="1"/>
    </xf>
    <xf numFmtId="0" fontId="22" fillId="22" borderId="49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1" fillId="21" borderId="0" xfId="0" applyFont="1" applyFill="1" applyBorder="1" applyAlignment="1">
      <alignment horizontal="center" vertical="center" wrapText="1"/>
    </xf>
    <xf numFmtId="0" fontId="22" fillId="21" borderId="42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wrapText="1"/>
    </xf>
    <xf numFmtId="0" fontId="21" fillId="21" borderId="50" xfId="0" applyFont="1" applyFill="1" applyBorder="1" applyAlignment="1">
      <alignment horizontal="center" vertical="center" wrapText="1"/>
    </xf>
    <xf numFmtId="0" fontId="22" fillId="22" borderId="51" xfId="0" applyFont="1" applyFill="1" applyBorder="1" applyAlignment="1">
      <alignment horizontal="center" vertical="center" wrapText="1"/>
    </xf>
    <xf numFmtId="0" fontId="22" fillId="21" borderId="52" xfId="0" applyFont="1" applyFill="1" applyBorder="1" applyAlignment="1">
      <alignment horizontal="center" vertical="center" wrapText="1"/>
    </xf>
    <xf numFmtId="0" fontId="21" fillId="21" borderId="52" xfId="0" applyFont="1" applyFill="1" applyBorder="1" applyAlignment="1">
      <alignment horizontal="center" vertical="center" wrapText="1"/>
    </xf>
    <xf numFmtId="0" fontId="22" fillId="21" borderId="53" xfId="0" applyFont="1" applyFill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4" fillId="0" borderId="57" xfId="0" applyFont="1" applyBorder="1" applyAlignment="1">
      <alignment wrapText="1"/>
    </xf>
    <xf numFmtId="0" fontId="34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7" fillId="0" borderId="0" xfId="0" applyFont="1"/>
    <xf numFmtId="0" fontId="28" fillId="0" borderId="0" xfId="0" applyFont="1"/>
    <xf numFmtId="0" fontId="34" fillId="23" borderId="58" xfId="0" applyFont="1" applyFill="1" applyBorder="1" applyAlignment="1">
      <alignment horizontal="left"/>
    </xf>
    <xf numFmtId="0" fontId="34" fillId="23" borderId="59" xfId="0" applyFont="1" applyFill="1" applyBorder="1" applyAlignment="1">
      <alignment horizontal="left"/>
    </xf>
    <xf numFmtId="0" fontId="34" fillId="23" borderId="60" xfId="0" applyFont="1" applyFill="1" applyBorder="1" applyAlignment="1">
      <alignment horizontal="left"/>
    </xf>
    <xf numFmtId="0" fontId="38" fillId="0" borderId="0" xfId="0" applyFont="1"/>
  </cellXfs>
  <cellStyles count="11">
    <cellStyle name="Excel Built-in Normal" xfId="6"/>
    <cellStyle name="Hyperlink" xfId="2" builtinId="8"/>
    <cellStyle name="Hyperlink 2" xfId="5"/>
    <cellStyle name="Hyperlink 3" xfId="7"/>
    <cellStyle name="Normal" xfId="0" builtinId="0"/>
    <cellStyle name="Normal 2" xfId="3"/>
    <cellStyle name="Normal 3" xfId="10"/>
    <cellStyle name="Percent" xfId="1" builtinId="5"/>
    <cellStyle name="Percent 2" xfId="4"/>
    <cellStyle name="Percent 3" xfId="8"/>
    <cellStyle name="Percent 4" xfId="9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5"/>
          <bgColor indexed="50"/>
        </patternFill>
      </fill>
    </dxf>
  </dxfs>
  <tableStyles count="0" defaultTableStyle="TableStyleMedium9" defaultPivotStyle="PivotStyleLight16"/>
  <colors>
    <mruColors>
      <color rgb="FFF7F7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saluspoliitika_talitus\Koondaruanne_2011\Sihtasutuste_finantseesm&#228;rgid_2011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ileht"/>
      <sheetName val="kõik andmed"/>
      <sheetName val="RSO-le"/>
      <sheetName val="Andmete kontroll"/>
      <sheetName val="Juhend"/>
      <sheetName val="HTM"/>
      <sheetName val="KaM"/>
      <sheetName val="KKM"/>
      <sheetName val="KuM"/>
      <sheetName val="MKM"/>
      <sheetName val="PM"/>
      <sheetName val="RM"/>
      <sheetName val="SiM"/>
      <sheetName val="SoM"/>
      <sheetName val="VM"/>
      <sheetName val="Presidendi_K"/>
      <sheetName val="Hiiu_MV"/>
      <sheetName val="Jõgeva_MV"/>
      <sheetName val="Järva_MV"/>
      <sheetName val="Lääne_MV"/>
      <sheetName val="Lääne_Viru_MV"/>
      <sheetName val="Põlva_MV"/>
      <sheetName val="Pärnu_MV"/>
      <sheetName val="Rapla_MV"/>
      <sheetName val="Saare_MV"/>
      <sheetName val="Tartu_MV"/>
      <sheetName val="Valga_MV"/>
      <sheetName val="Viljandi_MV"/>
      <sheetName val="Võru_MV"/>
      <sheetName val="eesmärkide koondtabel"/>
      <sheetName val="Eesmärkide võrdluseks"/>
      <sheetName val="2010_võrdluseks"/>
      <sheetName val="Sheet2"/>
      <sheetName val="Valitsussektoris"/>
      <sheetName val="Eesm ja tegelik"/>
    </sheetNames>
    <sheetDataSet>
      <sheetData sheetId="0">
        <row r="2">
          <cell r="E2" t="str">
            <v>Eesti Infotehnoloogia SA</v>
          </cell>
          <cell r="F2">
            <v>90005872</v>
          </cell>
          <cell r="G2">
            <v>1</v>
          </cell>
        </row>
        <row r="3">
          <cell r="E3" t="str">
            <v>Spordikoolituse ja -Teabe SA</v>
          </cell>
          <cell r="F3">
            <v>90007023</v>
          </cell>
          <cell r="G3">
            <v>1</v>
          </cell>
        </row>
        <row r="4">
          <cell r="E4" t="str">
            <v>SA Innove</v>
          </cell>
          <cell r="F4">
            <v>90008287</v>
          </cell>
          <cell r="G4">
            <v>1</v>
          </cell>
        </row>
        <row r="5">
          <cell r="E5" t="str">
            <v>SA Kutsekoda</v>
          </cell>
          <cell r="F5">
            <v>90006414</v>
          </cell>
          <cell r="G5">
            <v>1</v>
          </cell>
        </row>
        <row r="6">
          <cell r="E6" t="str">
            <v>Sihtasutus Archimedes</v>
          </cell>
          <cell r="F6">
            <v>80011561</v>
          </cell>
          <cell r="G6">
            <v>1</v>
          </cell>
        </row>
        <row r="7">
          <cell r="E7" t="str">
            <v>Sihtasutus Eesti Teadusfond</v>
          </cell>
          <cell r="F7">
            <v>90000759</v>
          </cell>
          <cell r="G7">
            <v>1</v>
          </cell>
        </row>
        <row r="8">
          <cell r="E8" t="str">
            <v>SA Teaduskeskus Ahhaa</v>
          </cell>
          <cell r="F8">
            <v>90007572</v>
          </cell>
          <cell r="G8">
            <v>1</v>
          </cell>
        </row>
        <row r="9">
          <cell r="E9" t="str">
            <v>Tiigrihüppe Sihtasutus</v>
          </cell>
          <cell r="F9">
            <v>90000200</v>
          </cell>
          <cell r="G9">
            <v>1</v>
          </cell>
        </row>
        <row r="11">
          <cell r="E11" t="str">
            <v>Riigikaitse Edendamise Sihtasutus</v>
          </cell>
          <cell r="F11">
            <v>90008494</v>
          </cell>
          <cell r="G11">
            <v>2</v>
          </cell>
        </row>
        <row r="12">
          <cell r="E12" t="str">
            <v>SA Rahvusvaheline Kaitseuuringute Keskus</v>
          </cell>
          <cell r="F12">
            <v>90009217</v>
          </cell>
          <cell r="G12">
            <v>1</v>
          </cell>
        </row>
        <row r="14">
          <cell r="E14" t="str">
            <v>Sihtasutus Erametsakeskus</v>
          </cell>
          <cell r="F14">
            <v>90005449</v>
          </cell>
          <cell r="G14">
            <v>1</v>
          </cell>
        </row>
        <row r="16">
          <cell r="E16" t="str">
            <v>Eesti Filmi Sihtasutus</v>
          </cell>
          <cell r="F16">
            <v>90000357</v>
          </cell>
          <cell r="G16">
            <v>1</v>
          </cell>
        </row>
        <row r="17">
          <cell r="E17" t="str">
            <v>Eesti Laulu- ja Tantsupeo Sihtasutus</v>
          </cell>
          <cell r="F17">
            <v>90005188</v>
          </cell>
          <cell r="G17">
            <v>1</v>
          </cell>
        </row>
        <row r="18">
          <cell r="E18" t="str">
            <v>Muuseumiehituse Sihtasutus</v>
          </cell>
          <cell r="F18">
            <v>90006360</v>
          </cell>
          <cell r="G18">
            <v>1</v>
          </cell>
        </row>
        <row r="19">
          <cell r="E19" t="str">
            <v>Eesti Rahva Muuseumi Ehituse SA</v>
          </cell>
          <cell r="F19">
            <v>90011160</v>
          </cell>
          <cell r="G19">
            <v>1</v>
          </cell>
        </row>
        <row r="20">
          <cell r="E20" t="str">
            <v>SA Eesti Draamateater</v>
          </cell>
          <cell r="F20">
            <v>90008264</v>
          </cell>
          <cell r="G20">
            <v>1</v>
          </cell>
        </row>
        <row r="21">
          <cell r="E21" t="str">
            <v>Sihtasutus Kultuurileht</v>
          </cell>
          <cell r="F21">
            <v>90005426</v>
          </cell>
          <cell r="G21">
            <v>1</v>
          </cell>
        </row>
        <row r="22">
          <cell r="E22" t="str">
            <v>Sihtasutus Narva Aleksandri Kirik</v>
          </cell>
          <cell r="F22">
            <v>90003350</v>
          </cell>
          <cell r="G22">
            <v>1</v>
          </cell>
        </row>
        <row r="23">
          <cell r="E23" t="str">
            <v>Sa Rakvere Teatrimaja</v>
          </cell>
          <cell r="F23">
            <v>90003491</v>
          </cell>
          <cell r="G23">
            <v>1</v>
          </cell>
        </row>
        <row r="24">
          <cell r="E24" t="str">
            <v>Sihtasutus Tartu Jaani Kirik</v>
          </cell>
          <cell r="F24">
            <v>90001380</v>
          </cell>
          <cell r="G24">
            <v>1</v>
          </cell>
        </row>
        <row r="25">
          <cell r="E25" t="str">
            <v>SA Tehvandi Spordikeskus</v>
          </cell>
          <cell r="F25">
            <v>90007715</v>
          </cell>
          <cell r="G25">
            <v>1</v>
          </cell>
        </row>
        <row r="26">
          <cell r="E26" t="str">
            <v>SA Ugala Teater</v>
          </cell>
          <cell r="F26">
            <v>90008005</v>
          </cell>
          <cell r="G26">
            <v>1</v>
          </cell>
        </row>
        <row r="27">
          <cell r="E27" t="str">
            <v>Sihtasutus UNESCO Eesti Rahvuslik Komisjon</v>
          </cell>
          <cell r="F27">
            <v>90005797</v>
          </cell>
          <cell r="G27">
            <v>1</v>
          </cell>
        </row>
        <row r="28">
          <cell r="E28" t="str">
            <v>Sihtasutus Vanalinna Teatrimaja</v>
          </cell>
          <cell r="F28">
            <v>90000618</v>
          </cell>
          <cell r="G28">
            <v>1</v>
          </cell>
        </row>
        <row r="29">
          <cell r="E29" t="str">
            <v>SA Vene Teater</v>
          </cell>
          <cell r="F29">
            <v>90008666</v>
          </cell>
          <cell r="G29">
            <v>1</v>
          </cell>
        </row>
        <row r="30">
          <cell r="E30" t="str">
            <v>Sihtasutus Virumaa Muuseumid</v>
          </cell>
          <cell r="F30">
            <v>90003278</v>
          </cell>
          <cell r="G30">
            <v>1</v>
          </cell>
        </row>
        <row r="31">
          <cell r="E31" t="str">
            <v>SA Jõulumäe Tervisespordikeskus</v>
          </cell>
          <cell r="F31">
            <v>90005113</v>
          </cell>
          <cell r="G31">
            <v>1</v>
          </cell>
        </row>
        <row r="32">
          <cell r="E32" t="str">
            <v>SA Endla Teater</v>
          </cell>
          <cell r="G32">
            <v>1</v>
          </cell>
        </row>
        <row r="33">
          <cell r="E33" t="str">
            <v>Integratsiooni ja Migratsiooni Sihtasutus Meie Inimesed</v>
          </cell>
          <cell r="F33">
            <v>90000788</v>
          </cell>
          <cell r="G33">
            <v>1</v>
          </cell>
        </row>
        <row r="35">
          <cell r="E35" t="str">
            <v>Ettevõtluse Arendamise SA</v>
          </cell>
          <cell r="F35">
            <v>90006006</v>
          </cell>
          <cell r="G35">
            <v>1</v>
          </cell>
        </row>
        <row r="36">
          <cell r="E36" t="str">
            <v>SA Kredex</v>
          </cell>
          <cell r="F36">
            <v>90006012</v>
          </cell>
          <cell r="G36">
            <v>2</v>
          </cell>
        </row>
        <row r="37">
          <cell r="E37" t="str">
            <v>Riigi Infokommunikatsiooni Sihtasutus</v>
          </cell>
          <cell r="F37">
            <v>90006101</v>
          </cell>
          <cell r="G37">
            <v>1</v>
          </cell>
        </row>
        <row r="38">
          <cell r="E38" t="str">
            <v>SA Eesti Akrediteerimiskeskus</v>
          </cell>
          <cell r="F38">
            <v>90005739</v>
          </cell>
          <cell r="G38">
            <v>2</v>
          </cell>
        </row>
        <row r="39">
          <cell r="E39" t="str">
            <v>SA Tallinna Teaduspark Tehnopol</v>
          </cell>
          <cell r="F39">
            <v>90008258</v>
          </cell>
          <cell r="G39">
            <v>2</v>
          </cell>
        </row>
        <row r="40">
          <cell r="E40" t="str">
            <v>Eesti Interneti SA</v>
          </cell>
          <cell r="F40">
            <v>90010019</v>
          </cell>
          <cell r="G40">
            <v>2</v>
          </cell>
        </row>
        <row r="41">
          <cell r="E41" t="str">
            <v>SA Ida-Virumaa Tööstusalade Arendus</v>
          </cell>
        </row>
        <row r="43">
          <cell r="E43" t="str">
            <v>Maaelu Edendamise Sihtasutus</v>
          </cell>
          <cell r="F43">
            <v>90000245</v>
          </cell>
          <cell r="G43">
            <v>2</v>
          </cell>
        </row>
        <row r="45">
          <cell r="E45" t="str">
            <v>SA Keskkonnainvesteeringute Keskus</v>
          </cell>
          <cell r="F45">
            <v>90005946</v>
          </cell>
          <cell r="G45">
            <v>1</v>
          </cell>
        </row>
        <row r="47">
          <cell r="E47" t="str">
            <v>SA Kodanikuühiskonna Sihtkapital</v>
          </cell>
          <cell r="F47">
            <v>90009654</v>
          </cell>
          <cell r="G47">
            <v>1</v>
          </cell>
        </row>
        <row r="48">
          <cell r="E48" t="str">
            <v>Sihtasutus Tuuru</v>
          </cell>
          <cell r="F48">
            <v>90000452</v>
          </cell>
          <cell r="G48">
            <v>1</v>
          </cell>
        </row>
        <row r="50">
          <cell r="E50" t="str">
            <v>Eesti E-tervise Sihtasutus</v>
          </cell>
          <cell r="F50">
            <v>90009016</v>
          </cell>
          <cell r="G50">
            <v>1</v>
          </cell>
        </row>
        <row r="51">
          <cell r="E51" t="str">
            <v>Sihtasutus Eesti Puuetega Inimeste Fond</v>
          </cell>
          <cell r="F51">
            <v>90000145</v>
          </cell>
          <cell r="G51">
            <v>1</v>
          </cell>
        </row>
        <row r="52">
          <cell r="E52" t="str">
            <v>SA Haapsalu Neuroloogiline Rehabilitatsioonikeskus</v>
          </cell>
          <cell r="F52">
            <v>90008123</v>
          </cell>
          <cell r="G52">
            <v>1</v>
          </cell>
        </row>
        <row r="53">
          <cell r="E53" t="str">
            <v>Sihtasutus Põhja-Eesti Regionaalhaigla</v>
          </cell>
          <cell r="F53">
            <v>90006399</v>
          </cell>
          <cell r="G53">
            <v>1</v>
          </cell>
        </row>
        <row r="54">
          <cell r="E54" t="str">
            <v>SA Sillamäe Narkorehabilitatsioonikeskus</v>
          </cell>
          <cell r="F54">
            <v>90003545</v>
          </cell>
          <cell r="G54">
            <v>1</v>
          </cell>
        </row>
        <row r="55">
          <cell r="E55" t="str">
            <v>Sihtasutus Tartu Ülikooli Kliinikum</v>
          </cell>
          <cell r="F55">
            <v>90001478</v>
          </cell>
          <cell r="G55">
            <v>1</v>
          </cell>
        </row>
        <row r="56">
          <cell r="E56" t="str">
            <v>Sihtasutus Viljandi Haigla</v>
          </cell>
          <cell r="F56">
            <v>90004585</v>
          </cell>
          <cell r="G56">
            <v>1</v>
          </cell>
        </row>
        <row r="58">
          <cell r="E58" t="str">
            <v>SA Eesti Välispoliitika Instituut</v>
          </cell>
          <cell r="F58">
            <v>90006087</v>
          </cell>
          <cell r="G58">
            <v>1</v>
          </cell>
        </row>
        <row r="60">
          <cell r="E60" t="str">
            <v>SA Vabariigi Presidendi Kultuurirahastu</v>
          </cell>
          <cell r="F60">
            <v>90005780</v>
          </cell>
          <cell r="G60">
            <v>2</v>
          </cell>
        </row>
        <row r="61">
          <cell r="E61" t="str">
            <v>Sihtasutus Eesti Koostöö Kogu</v>
          </cell>
          <cell r="F61">
            <v>90007081</v>
          </cell>
          <cell r="G61">
            <v>1</v>
          </cell>
        </row>
        <row r="63">
          <cell r="E63" t="str">
            <v>SA Hiiumaa Haigla</v>
          </cell>
          <cell r="F63">
            <v>90007046</v>
          </cell>
          <cell r="G63">
            <v>1</v>
          </cell>
        </row>
        <row r="65">
          <cell r="E65" t="str">
            <v>SA Jõgeva Haigla</v>
          </cell>
          <cell r="F65">
            <v>90007425</v>
          </cell>
          <cell r="G65">
            <v>1</v>
          </cell>
        </row>
        <row r="66">
          <cell r="E66" t="str">
            <v>Sihtasutus Jõgevamaa Arendus-Ja Ettevõtluskeskus</v>
          </cell>
          <cell r="F66">
            <v>90001322</v>
          </cell>
          <cell r="G66">
            <v>1</v>
          </cell>
        </row>
        <row r="68">
          <cell r="E68" t="str">
            <v>SA A.H.Tammsaare Muuseum Vargamäel</v>
          </cell>
          <cell r="F68">
            <v>90006963</v>
          </cell>
          <cell r="G68">
            <v>1</v>
          </cell>
        </row>
        <row r="69">
          <cell r="E69" t="str">
            <v>SA Koeru Hooldekeskus</v>
          </cell>
          <cell r="F69">
            <v>90008347</v>
          </cell>
          <cell r="G69">
            <v>1</v>
          </cell>
        </row>
        <row r="71">
          <cell r="E71" t="str">
            <v>Sihtasutus Läänemaa Arenduskeskus</v>
          </cell>
          <cell r="F71">
            <v>90000506</v>
          </cell>
          <cell r="G71">
            <v>1</v>
          </cell>
        </row>
        <row r="73">
          <cell r="E73" t="str">
            <v>SA Lääne-Viru Arenduskeskus</v>
          </cell>
          <cell r="F73">
            <v>90003427</v>
          </cell>
          <cell r="G73">
            <v>1</v>
          </cell>
        </row>
        <row r="75">
          <cell r="E75" t="str">
            <v>Pokumaa Sihtasutus</v>
          </cell>
          <cell r="F75">
            <v>90001871</v>
          </cell>
          <cell r="G75">
            <v>2</v>
          </cell>
        </row>
        <row r="77">
          <cell r="E77" t="str">
            <v>Sihtasutus Pärnumaa Ettevõtlus- ja Arenduskeskus</v>
          </cell>
          <cell r="F77">
            <v>90004065</v>
          </cell>
          <cell r="G77">
            <v>1</v>
          </cell>
        </row>
        <row r="79">
          <cell r="E79" t="str">
            <v>Sihtasutus Raplamaa Arendus- ja Ettevõtluskeskus</v>
          </cell>
          <cell r="F79">
            <v>80028194</v>
          </cell>
          <cell r="G79">
            <v>1</v>
          </cell>
        </row>
        <row r="81">
          <cell r="E81" t="str">
            <v>Saaremaa Ettevõtluse Edendamise Sihtasutus</v>
          </cell>
          <cell r="F81">
            <v>90004071</v>
          </cell>
          <cell r="G81">
            <v>1</v>
          </cell>
        </row>
        <row r="83">
          <cell r="E83" t="str">
            <v>Sihtasutus Peipsiveere Areng</v>
          </cell>
          <cell r="F83">
            <v>90001262</v>
          </cell>
          <cell r="G83">
            <v>1</v>
          </cell>
        </row>
        <row r="84">
          <cell r="E84" t="str">
            <v>Sihtasutus Tartu Teaduspark</v>
          </cell>
          <cell r="F84">
            <v>90001121</v>
          </cell>
          <cell r="G84">
            <v>2</v>
          </cell>
        </row>
        <row r="85">
          <cell r="E85" t="str">
            <v>Sihtasutus Tartu Ärinõuandla</v>
          </cell>
          <cell r="F85">
            <v>90001010</v>
          </cell>
          <cell r="G85">
            <v>1</v>
          </cell>
        </row>
        <row r="87">
          <cell r="E87" t="str">
            <v>Sihtasutus Lõuna-Eesti Turism</v>
          </cell>
          <cell r="F87">
            <v>90001256</v>
          </cell>
          <cell r="G87">
            <v>1</v>
          </cell>
        </row>
        <row r="89">
          <cell r="E89" t="str">
            <v>SA Holstre-Polli Tervisekeskus</v>
          </cell>
          <cell r="F89">
            <v>90004881</v>
          </cell>
          <cell r="G89">
            <v>1</v>
          </cell>
        </row>
        <row r="90">
          <cell r="E90" t="str">
            <v>Sihtasutus Viljandimaa Arenduskeskus</v>
          </cell>
          <cell r="F90">
            <v>90004214</v>
          </cell>
          <cell r="G90">
            <v>1</v>
          </cell>
        </row>
        <row r="92">
          <cell r="E92" t="str">
            <v>Sihtasutus Võrumaa Arenguagentuur</v>
          </cell>
          <cell r="F92">
            <v>90001581</v>
          </cell>
          <cell r="G9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elle.poitel@muuseum.hiiumaa.ee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eldi@kl.ee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angelika.shticalov@narvamuuseum.ee" TargetMode="External"/><Relationship Id="rId1" Type="http://schemas.openxmlformats.org/officeDocument/2006/relationships/hyperlink" Target="mailto:pearaamat@narvamuuseum.e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raamat@pernau.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tuuli@rakvereteater.e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marju@no99.ee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helle.konts@ugala.ee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mmsaare@albu.e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eelike.aav@draamateater.e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tabSelected="1" zoomScaleNormal="100" workbookViewId="0">
      <selection activeCell="B1" sqref="B1"/>
    </sheetView>
  </sheetViews>
  <sheetFormatPr defaultRowHeight="15" x14ac:dyDescent="0.25"/>
  <cols>
    <col min="1" max="1" width="43.85546875" customWidth="1"/>
    <col min="2" max="2" width="31.42578125" customWidth="1"/>
    <col min="3" max="3" width="13.28515625" customWidth="1"/>
    <col min="4" max="4" width="11.42578125" customWidth="1"/>
    <col min="5" max="5" width="11" customWidth="1"/>
    <col min="6" max="6" width="10.28515625" customWidth="1"/>
    <col min="7" max="7" width="10.5703125" customWidth="1"/>
    <col min="8" max="8" width="11.28515625" customWidth="1"/>
  </cols>
  <sheetData>
    <row r="1" spans="1:8" ht="30" x14ac:dyDescent="0.25">
      <c r="A1" s="34" t="s">
        <v>159</v>
      </c>
      <c r="B1" s="36" t="s">
        <v>160</v>
      </c>
    </row>
    <row r="2" spans="1:8" s="32" customFormat="1" x14ac:dyDescent="0.25">
      <c r="A2" s="30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"/>
      <c r="B5" s="3"/>
      <c r="C5" s="3"/>
      <c r="D5" s="2"/>
      <c r="E5" s="2"/>
      <c r="F5" s="2"/>
      <c r="G5" s="2"/>
      <c r="H5" s="2"/>
    </row>
    <row r="6" spans="1:8" x14ac:dyDescent="0.25">
      <c r="A6" s="5" t="s">
        <v>49</v>
      </c>
      <c r="B6" s="5"/>
      <c r="C6" s="5"/>
      <c r="D6" s="2"/>
      <c r="E6" s="2"/>
      <c r="F6" s="2"/>
      <c r="G6" s="2"/>
      <c r="H6" s="2"/>
    </row>
    <row r="7" spans="1:8" x14ac:dyDescent="0.25">
      <c r="A7" s="13" t="s">
        <v>13</v>
      </c>
      <c r="B7" s="13" t="s">
        <v>25</v>
      </c>
      <c r="C7" s="5"/>
      <c r="D7" s="2"/>
      <c r="E7" s="2"/>
      <c r="F7" s="2"/>
      <c r="G7" s="2"/>
      <c r="H7" s="2"/>
    </row>
    <row r="8" spans="1:8" x14ac:dyDescent="0.25">
      <c r="A8" s="13" t="s">
        <v>26</v>
      </c>
      <c r="B8" s="13" t="s">
        <v>27</v>
      </c>
      <c r="C8" s="5">
        <v>868</v>
      </c>
      <c r="D8" s="2">
        <v>203940</v>
      </c>
      <c r="E8" s="16">
        <v>1350000</v>
      </c>
      <c r="F8" s="16">
        <v>217940</v>
      </c>
      <c r="G8" s="16">
        <v>1365000</v>
      </c>
      <c r="H8" s="16">
        <v>0</v>
      </c>
    </row>
    <row r="9" spans="1:8" x14ac:dyDescent="0.25">
      <c r="A9" s="13" t="s">
        <v>28</v>
      </c>
      <c r="B9" s="13" t="s">
        <v>14</v>
      </c>
      <c r="C9" s="5"/>
      <c r="D9" s="2"/>
      <c r="E9" s="15"/>
      <c r="F9" s="15"/>
      <c r="G9" s="15"/>
      <c r="H9" s="15"/>
    </row>
    <row r="10" spans="1:8" x14ac:dyDescent="0.25">
      <c r="A10" s="13" t="s">
        <v>15</v>
      </c>
      <c r="B10" s="13" t="s">
        <v>29</v>
      </c>
      <c r="C10" s="5">
        <v>1479160</v>
      </c>
      <c r="D10" s="2">
        <v>1469060</v>
      </c>
      <c r="E10" s="16">
        <v>3020000</v>
      </c>
      <c r="F10" s="16">
        <v>1469060</v>
      </c>
      <c r="G10" s="16">
        <v>3235000</v>
      </c>
      <c r="H10" s="16">
        <v>1620000</v>
      </c>
    </row>
    <row r="11" spans="1:8" x14ac:dyDescent="0.25">
      <c r="A11" s="13" t="s">
        <v>16</v>
      </c>
      <c r="B11" s="13" t="s">
        <v>30</v>
      </c>
      <c r="C11" s="5"/>
      <c r="D11" s="2"/>
      <c r="E11" s="2"/>
      <c r="F11" s="2"/>
      <c r="G11" s="2"/>
      <c r="H11" s="2"/>
    </row>
    <row r="12" spans="1:8" x14ac:dyDescent="0.25">
      <c r="A12" s="13" t="s">
        <v>31</v>
      </c>
      <c r="B12" s="13" t="s">
        <v>32</v>
      </c>
      <c r="C12" s="5"/>
      <c r="D12" s="2"/>
      <c r="E12" s="2"/>
      <c r="F12" s="2"/>
      <c r="G12" s="2"/>
      <c r="H12" s="2"/>
    </row>
    <row r="13" spans="1:8" x14ac:dyDescent="0.25">
      <c r="A13" s="13" t="s">
        <v>17</v>
      </c>
      <c r="B13" s="13" t="s">
        <v>33</v>
      </c>
      <c r="C13" s="6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6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"/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1480028</v>
      </c>
      <c r="D16" s="7">
        <f t="shared" ref="D16:H16" si="0">SUM(D7:D15)</f>
        <v>1673000</v>
      </c>
      <c r="E16" s="7">
        <f t="shared" si="0"/>
        <v>4370000</v>
      </c>
      <c r="F16" s="7">
        <f t="shared" si="0"/>
        <v>1687000</v>
      </c>
      <c r="G16" s="7">
        <f t="shared" si="0"/>
        <v>4600000</v>
      </c>
      <c r="H16" s="7">
        <f t="shared" si="0"/>
        <v>1620000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v>868</v>
      </c>
      <c r="D19" s="19">
        <v>203940</v>
      </c>
      <c r="E19" s="19">
        <v>1350000</v>
      </c>
      <c r="F19" s="19">
        <v>217940</v>
      </c>
      <c r="G19" s="19">
        <v>1365000</v>
      </c>
      <c r="H19" s="19">
        <v>0</v>
      </c>
    </row>
    <row r="20" spans="1:8" s="17" customFormat="1" x14ac:dyDescent="0.25">
      <c r="A20" s="18" t="s">
        <v>148</v>
      </c>
      <c r="B20" s="18" t="s">
        <v>117</v>
      </c>
      <c r="C20" s="19">
        <v>1479160</v>
      </c>
      <c r="D20" s="19">
        <v>1469060</v>
      </c>
      <c r="E20" s="19">
        <v>3020000</v>
      </c>
      <c r="F20" s="19">
        <v>1469060</v>
      </c>
      <c r="G20" s="19">
        <v>3235000</v>
      </c>
      <c r="H20" s="19">
        <v>1620000</v>
      </c>
    </row>
    <row r="21" spans="1:8" s="17" customFormat="1" x14ac:dyDescent="0.25">
      <c r="A21" s="18" t="s">
        <v>114</v>
      </c>
      <c r="B21" s="18" t="s">
        <v>116</v>
      </c>
      <c r="C21" s="19">
        <f>SUM(C18:C20)</f>
        <v>1480028</v>
      </c>
      <c r="D21" s="19">
        <f>SUM(D19:D20)</f>
        <v>1673000</v>
      </c>
      <c r="E21" s="19">
        <f>SUM(E19:E20)</f>
        <v>4370000</v>
      </c>
      <c r="F21" s="19">
        <f>SUM(F19:F20)</f>
        <v>1687000</v>
      </c>
      <c r="G21" s="19">
        <f>SUM(G19:G20)</f>
        <v>4600000</v>
      </c>
      <c r="H21" s="19">
        <f>SUM(H19:H20)</f>
        <v>1620000</v>
      </c>
    </row>
    <row r="22" spans="1:8" x14ac:dyDescent="0.25">
      <c r="A22" s="13"/>
      <c r="B22" s="13"/>
      <c r="C22" s="5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16">
        <v>-1589041</v>
      </c>
      <c r="D28" s="16">
        <v>-1673318</v>
      </c>
      <c r="E28" s="16">
        <v>-4370000</v>
      </c>
      <c r="F28" s="16">
        <v>-1660000</v>
      </c>
      <c r="G28" s="16">
        <v>-4600000</v>
      </c>
      <c r="H28" s="16">
        <v>-1620000</v>
      </c>
    </row>
    <row r="29" spans="1:8" x14ac:dyDescent="0.25">
      <c r="A29" s="2" t="s">
        <v>155</v>
      </c>
      <c r="B29" s="2" t="s">
        <v>156</v>
      </c>
      <c r="C29" s="5"/>
      <c r="D29" s="7"/>
      <c r="E29" s="7"/>
      <c r="F29" s="7"/>
      <c r="G29" s="7"/>
      <c r="H29" s="7"/>
    </row>
    <row r="30" spans="1:8" x14ac:dyDescent="0.25">
      <c r="A30" s="13" t="s">
        <v>41</v>
      </c>
      <c r="B30" s="13" t="s">
        <v>42</v>
      </c>
      <c r="C30" s="5"/>
      <c r="D30" s="7"/>
      <c r="E30" s="7"/>
      <c r="F30" s="7"/>
      <c r="G30" s="7"/>
      <c r="H30" s="7"/>
    </row>
    <row r="31" spans="1:8" x14ac:dyDescent="0.25">
      <c r="A31" s="13" t="s">
        <v>43</v>
      </c>
      <c r="B31" s="13" t="s">
        <v>44</v>
      </c>
      <c r="C31" s="6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6"/>
      <c r="D32" s="6"/>
      <c r="E32" s="6"/>
      <c r="F32" s="6"/>
      <c r="G32" s="6"/>
      <c r="H32" s="6"/>
    </row>
    <row r="33" spans="1:8" x14ac:dyDescent="0.25">
      <c r="A33" s="13" t="s">
        <v>47</v>
      </c>
      <c r="B33" s="13" t="s">
        <v>48</v>
      </c>
      <c r="C33" s="6">
        <v>2675</v>
      </c>
      <c r="D33" s="6"/>
      <c r="E33" s="6"/>
      <c r="F33" s="6"/>
      <c r="G33" s="6"/>
      <c r="H33" s="6"/>
    </row>
    <row r="34" spans="1:8" x14ac:dyDescent="0.25">
      <c r="A34" s="5" t="s">
        <v>1</v>
      </c>
      <c r="B34" s="5"/>
      <c r="C34" s="7">
        <f>SUM(C24:C28)+SUM(C30:C33)</f>
        <v>-1586366</v>
      </c>
      <c r="D34" s="7">
        <f t="shared" ref="D34:H34" si="1">SUM(D24:D28)+SUM(D30:D33)</f>
        <v>-1673318</v>
      </c>
      <c r="E34" s="7">
        <f t="shared" si="1"/>
        <v>-4370000</v>
      </c>
      <c r="F34" s="7">
        <f t="shared" si="1"/>
        <v>-1660000</v>
      </c>
      <c r="G34" s="7">
        <f t="shared" si="1"/>
        <v>-4600000</v>
      </c>
      <c r="H34" s="7">
        <f t="shared" si="1"/>
        <v>-1620000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/>
      <c r="D37" s="19"/>
      <c r="E37" s="19"/>
      <c r="F37" s="19"/>
      <c r="G37" s="19"/>
      <c r="H37" s="19"/>
    </row>
    <row r="38" spans="1:8" s="17" customFormat="1" x14ac:dyDescent="0.25">
      <c r="A38" s="21" t="s">
        <v>133</v>
      </c>
      <c r="B38" s="21" t="s">
        <v>134</v>
      </c>
      <c r="C38" s="19">
        <v>-1589041</v>
      </c>
      <c r="D38" s="19">
        <v>-1673318</v>
      </c>
      <c r="E38" s="19">
        <v>-4370000</v>
      </c>
      <c r="F38" s="19">
        <v>-1660000</v>
      </c>
      <c r="G38" s="19">
        <v>-4600000</v>
      </c>
      <c r="H38" s="19">
        <v>-1620000</v>
      </c>
    </row>
    <row r="39" spans="1:8" s="17" customFormat="1" x14ac:dyDescent="0.25">
      <c r="A39" s="21" t="s">
        <v>136</v>
      </c>
      <c r="B39" s="21" t="s">
        <v>135</v>
      </c>
      <c r="C39" s="19">
        <v>2675</v>
      </c>
      <c r="D39" s="19"/>
      <c r="E39" s="19"/>
      <c r="F39" s="19"/>
      <c r="G39" s="19"/>
      <c r="H39" s="19"/>
    </row>
    <row r="40" spans="1:8" s="17" customFormat="1" x14ac:dyDescent="0.25">
      <c r="A40" s="21" t="s">
        <v>138</v>
      </c>
      <c r="B40" s="21" t="s">
        <v>120</v>
      </c>
      <c r="C40" s="21"/>
      <c r="D40" s="19"/>
      <c r="E40" s="19"/>
      <c r="F40" s="19"/>
      <c r="G40" s="19"/>
      <c r="H40" s="19"/>
    </row>
    <row r="41" spans="1:8" s="17" customFormat="1" x14ac:dyDescent="0.25">
      <c r="A41" s="21" t="s">
        <v>113</v>
      </c>
      <c r="B41" s="21" t="s">
        <v>137</v>
      </c>
      <c r="C41" s="19">
        <f>SUM(C37:C39)</f>
        <v>-1586366</v>
      </c>
      <c r="D41" s="19">
        <f t="shared" ref="D41:H41" si="2">SUM(D37:D39)</f>
        <v>-1673318</v>
      </c>
      <c r="E41" s="19">
        <f t="shared" si="2"/>
        <v>-4370000</v>
      </c>
      <c r="F41" s="19">
        <f t="shared" si="2"/>
        <v>-1660000</v>
      </c>
      <c r="G41" s="19">
        <f t="shared" si="2"/>
        <v>-4600000</v>
      </c>
      <c r="H41" s="19">
        <f t="shared" si="2"/>
        <v>-1620000</v>
      </c>
    </row>
    <row r="42" spans="1:8" x14ac:dyDescent="0.25">
      <c r="A42" s="5"/>
      <c r="B42" s="5"/>
      <c r="C42" s="5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 t="shared" ref="C43:H43" si="3">C16+C34</f>
        <v>-106338</v>
      </c>
      <c r="D43" s="9">
        <f t="shared" si="3"/>
        <v>-318</v>
      </c>
      <c r="E43" s="9">
        <f t="shared" si="3"/>
        <v>0</v>
      </c>
      <c r="F43" s="9">
        <f t="shared" si="3"/>
        <v>27000</v>
      </c>
      <c r="G43" s="9">
        <f t="shared" si="3"/>
        <v>0</v>
      </c>
      <c r="H43" s="9">
        <f t="shared" si="3"/>
        <v>0</v>
      </c>
    </row>
    <row r="44" spans="1:8" x14ac:dyDescent="0.25">
      <c r="A44" s="10" t="s">
        <v>3</v>
      </c>
      <c r="B44" s="10"/>
      <c r="C44" s="11">
        <f t="shared" ref="C44:H44" si="4">C43/C16</f>
        <v>-7.184864070139213E-2</v>
      </c>
      <c r="D44" s="11">
        <f t="shared" si="4"/>
        <v>-1.9007770472205619E-4</v>
      </c>
      <c r="E44" s="11">
        <f t="shared" si="4"/>
        <v>0</v>
      </c>
      <c r="F44" s="11">
        <f t="shared" si="4"/>
        <v>1.6004742145820983E-2</v>
      </c>
      <c r="G44" s="11">
        <f t="shared" si="4"/>
        <v>0</v>
      </c>
      <c r="H44" s="11">
        <f t="shared" si="4"/>
        <v>0</v>
      </c>
    </row>
    <row r="45" spans="1:8" x14ac:dyDescent="0.25">
      <c r="A45" s="10"/>
      <c r="B45" s="10"/>
      <c r="C45" s="11"/>
      <c r="D45" s="11"/>
      <c r="E45" s="11"/>
      <c r="F45" s="11"/>
      <c r="G45" s="11"/>
      <c r="H45" s="11"/>
    </row>
    <row r="46" spans="1:8" s="17" customFormat="1" x14ac:dyDescent="0.25">
      <c r="A46" s="22" t="s">
        <v>130</v>
      </c>
      <c r="B46" s="22" t="s">
        <v>141</v>
      </c>
      <c r="C46" s="23">
        <f>C21+C41</f>
        <v>-106338</v>
      </c>
      <c r="D46" s="23">
        <f t="shared" ref="D46:H46" si="5">D21+D41</f>
        <v>-318</v>
      </c>
      <c r="E46" s="23">
        <f t="shared" si="5"/>
        <v>0</v>
      </c>
      <c r="F46" s="23">
        <f t="shared" si="5"/>
        <v>27000</v>
      </c>
      <c r="G46" s="23">
        <f t="shared" si="5"/>
        <v>0</v>
      </c>
      <c r="H46" s="23">
        <f t="shared" si="5"/>
        <v>0</v>
      </c>
    </row>
    <row r="47" spans="1:8" x14ac:dyDescent="0.25">
      <c r="A47" s="10"/>
      <c r="B47" s="10"/>
      <c r="C47" s="11"/>
      <c r="D47" s="11"/>
      <c r="E47" s="11"/>
      <c r="F47" s="11"/>
      <c r="G47" s="11"/>
      <c r="H47" s="11"/>
    </row>
    <row r="48" spans="1:8" x14ac:dyDescent="0.25">
      <c r="A48" s="5" t="s">
        <v>151</v>
      </c>
      <c r="B48" s="5"/>
      <c r="C48" s="5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6"/>
      <c r="D49" s="7"/>
      <c r="E49" s="7"/>
      <c r="F49" s="7"/>
      <c r="G49" s="7"/>
      <c r="H49" s="7"/>
    </row>
    <row r="50" spans="1:8" x14ac:dyDescent="0.25">
      <c r="A50" s="2" t="s">
        <v>142</v>
      </c>
      <c r="B50" s="5"/>
      <c r="C50" s="6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6"/>
      <c r="D51" s="7"/>
      <c r="E51" s="7"/>
      <c r="F51" s="7"/>
      <c r="G51" s="7"/>
      <c r="H51" s="7"/>
    </row>
    <row r="52" spans="1:8" x14ac:dyDescent="0.25">
      <c r="A52" s="2" t="s">
        <v>5</v>
      </c>
      <c r="B52" s="5"/>
      <c r="C52" s="6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6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6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6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6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6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6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6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6"/>
      <c r="D60" s="7"/>
      <c r="E60" s="7"/>
      <c r="F60" s="7"/>
      <c r="G60" s="7"/>
      <c r="H60" s="7"/>
    </row>
    <row r="61" spans="1:8" x14ac:dyDescent="0.25">
      <c r="A61" s="2" t="s">
        <v>112</v>
      </c>
      <c r="B61" s="5"/>
      <c r="C61" s="5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0</v>
      </c>
      <c r="D62" s="16">
        <f>SUM(D49:D61)</f>
        <v>0</v>
      </c>
      <c r="E62" s="16">
        <f t="shared" ref="E62:H62" si="6">SUM(E49:E61)</f>
        <v>0</v>
      </c>
      <c r="F62" s="16">
        <f t="shared" si="6"/>
        <v>0</v>
      </c>
      <c r="G62" s="16">
        <f t="shared" si="6"/>
        <v>0</v>
      </c>
      <c r="H62" s="16">
        <f t="shared" si="6"/>
        <v>0</v>
      </c>
    </row>
    <row r="63" spans="1:8" s="17" customFormat="1" x14ac:dyDescent="0.25">
      <c r="A63" s="20"/>
      <c r="B63" s="20"/>
      <c r="C63" s="20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-106338</v>
      </c>
      <c r="D64" s="9">
        <f t="shared" ref="D64:H64" si="7">D43+D62</f>
        <v>-318</v>
      </c>
      <c r="E64" s="9">
        <f t="shared" si="7"/>
        <v>0</v>
      </c>
      <c r="F64" s="9">
        <f t="shared" si="7"/>
        <v>27000</v>
      </c>
      <c r="G64" s="9">
        <f t="shared" si="7"/>
        <v>0</v>
      </c>
      <c r="H64" s="9">
        <f t="shared" si="7"/>
        <v>0</v>
      </c>
    </row>
    <row r="65" spans="1:8" s="17" customFormat="1" x14ac:dyDescent="0.25">
      <c r="A65" s="20"/>
      <c r="B65" s="20"/>
      <c r="C65" s="20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20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25"/>
      <c r="D67" s="25"/>
      <c r="E67" s="25"/>
      <c r="F67" s="25"/>
      <c r="G67" s="25"/>
      <c r="H67" s="25"/>
    </row>
    <row r="68" spans="1:8" s="17" customFormat="1" x14ac:dyDescent="0.25">
      <c r="A68" s="24" t="s">
        <v>60</v>
      </c>
      <c r="B68" s="15" t="s">
        <v>129</v>
      </c>
      <c r="C68" s="25"/>
      <c r="D68" s="25"/>
      <c r="E68" s="25"/>
      <c r="F68" s="25"/>
      <c r="G68" s="25"/>
      <c r="H68" s="25"/>
    </row>
    <row r="69" spans="1:8" ht="60" x14ac:dyDescent="0.25">
      <c r="A69" s="13" t="s">
        <v>61</v>
      </c>
      <c r="B69" s="26" t="s">
        <v>51</v>
      </c>
      <c r="C69" s="6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6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6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20"/>
      <c r="D72" s="16"/>
      <c r="E72" s="16"/>
      <c r="F72" s="16"/>
      <c r="G72" s="16"/>
      <c r="H72" s="16"/>
    </row>
    <row r="73" spans="1:8" x14ac:dyDescent="0.25">
      <c r="A73" s="13" t="s">
        <v>67</v>
      </c>
      <c r="B73" s="13" t="s">
        <v>68</v>
      </c>
      <c r="C73" s="6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6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6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6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6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6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6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6"/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6"/>
      <c r="D81" s="7"/>
      <c r="E81" s="7"/>
      <c r="F81" s="7"/>
      <c r="G81" s="7"/>
      <c r="H81" s="7"/>
    </row>
    <row r="82" spans="1:8" x14ac:dyDescent="0.25">
      <c r="A82" s="37" t="s">
        <v>8</v>
      </c>
      <c r="B82" s="5"/>
      <c r="C82" s="7">
        <f>SUM(C67:C81)</f>
        <v>0</v>
      </c>
      <c r="D82" s="7">
        <f>SUM(D67:D81)</f>
        <v>0</v>
      </c>
      <c r="E82" s="7">
        <f t="shared" ref="E82:H82" si="8">SUM(E67:E81)</f>
        <v>0</v>
      </c>
      <c r="F82" s="7">
        <f t="shared" si="8"/>
        <v>0</v>
      </c>
      <c r="G82" s="7">
        <f t="shared" si="8"/>
        <v>0</v>
      </c>
      <c r="H82" s="7">
        <f t="shared" si="8"/>
        <v>0</v>
      </c>
    </row>
    <row r="83" spans="1:8" x14ac:dyDescent="0.25">
      <c r="A83" s="5"/>
      <c r="B83" s="5"/>
      <c r="C83" s="5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21">
        <v>60748</v>
      </c>
      <c r="D84" s="19">
        <v>60000</v>
      </c>
      <c r="E84" s="19">
        <v>60000</v>
      </c>
      <c r="F84" s="19">
        <v>60000</v>
      </c>
      <c r="G84" s="19">
        <v>60000</v>
      </c>
      <c r="H84" s="19">
        <v>60000</v>
      </c>
    </row>
    <row r="85" spans="1:8" x14ac:dyDescent="0.25">
      <c r="A85" s="5"/>
      <c r="B85" s="5"/>
      <c r="C85" s="5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20">
        <v>-1172318</v>
      </c>
      <c r="D87" s="16">
        <v>-1174428</v>
      </c>
      <c r="E87" s="16">
        <v>-1174428</v>
      </c>
      <c r="F87" s="16">
        <v>-1201428</v>
      </c>
      <c r="G87" s="16">
        <v>-1201428</v>
      </c>
      <c r="H87" s="16">
        <v>-1201428</v>
      </c>
    </row>
    <row r="88" spans="1:8" x14ac:dyDescent="0.25">
      <c r="A88" s="13" t="s">
        <v>88</v>
      </c>
      <c r="B88" s="2" t="s">
        <v>81</v>
      </c>
      <c r="C88" s="5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6"/>
      <c r="D94" s="7"/>
      <c r="E94" s="7"/>
      <c r="F94" s="7"/>
      <c r="G94" s="7"/>
      <c r="H94" s="7"/>
    </row>
    <row r="95" spans="1:8" x14ac:dyDescent="0.25">
      <c r="A95" s="37" t="s">
        <v>10</v>
      </c>
      <c r="B95" s="5"/>
      <c r="C95" s="7">
        <f>SUM(C87:C94)</f>
        <v>-1172318</v>
      </c>
      <c r="D95" s="7">
        <f t="shared" ref="D95:H95" si="9">SUM(D87:D94)</f>
        <v>-1174428</v>
      </c>
      <c r="E95" s="7">
        <f t="shared" si="9"/>
        <v>-1174428</v>
      </c>
      <c r="F95" s="7">
        <f t="shared" si="9"/>
        <v>-1201428</v>
      </c>
      <c r="G95" s="7">
        <f t="shared" si="9"/>
        <v>-1201428</v>
      </c>
      <c r="H95" s="7">
        <f t="shared" si="9"/>
        <v>-1201428</v>
      </c>
    </row>
    <row r="96" spans="1:8" x14ac:dyDescent="0.25">
      <c r="A96" s="5"/>
      <c r="B96" s="5"/>
      <c r="C96" s="5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21">
        <v>1195494</v>
      </c>
      <c r="D97" s="19">
        <v>1194428</v>
      </c>
      <c r="E97" s="19">
        <v>1194428</v>
      </c>
      <c r="F97" s="19">
        <v>1221428</v>
      </c>
      <c r="G97" s="19">
        <v>1221428</v>
      </c>
      <c r="H97" s="19">
        <v>1221428</v>
      </c>
    </row>
    <row r="98" spans="1:8" s="17" customFormat="1" x14ac:dyDescent="0.25">
      <c r="A98" s="21" t="s">
        <v>122</v>
      </c>
      <c r="B98" s="21" t="s">
        <v>127</v>
      </c>
      <c r="C98" s="21"/>
      <c r="D98" s="19"/>
      <c r="E98" s="19"/>
      <c r="F98" s="19"/>
      <c r="G98" s="19"/>
      <c r="H98" s="19"/>
    </row>
    <row r="99" spans="1:8" s="17" customFormat="1" x14ac:dyDescent="0.25">
      <c r="A99" s="21" t="s">
        <v>131</v>
      </c>
      <c r="B99" s="21"/>
      <c r="C99" s="21">
        <f>C97-C84</f>
        <v>1134746</v>
      </c>
      <c r="D99" s="19">
        <v>1134428</v>
      </c>
      <c r="E99" s="21">
        <f t="shared" ref="E99:H99" si="10">E97-E84</f>
        <v>1134428</v>
      </c>
      <c r="F99" s="21">
        <f t="shared" si="10"/>
        <v>1161428</v>
      </c>
      <c r="G99" s="21">
        <f t="shared" si="10"/>
        <v>1161428</v>
      </c>
      <c r="H99" s="21">
        <f t="shared" si="10"/>
        <v>1161428</v>
      </c>
    </row>
    <row r="100" spans="1:8" s="17" customFormat="1" x14ac:dyDescent="0.25">
      <c r="A100" s="21" t="s">
        <v>123</v>
      </c>
      <c r="B100" s="21" t="s">
        <v>128</v>
      </c>
      <c r="C100" s="21">
        <f>C97+C98</f>
        <v>1195494</v>
      </c>
      <c r="D100" s="21">
        <f t="shared" ref="D100:H100" si="11">D97+D98</f>
        <v>1194428</v>
      </c>
      <c r="E100" s="21">
        <f t="shared" si="11"/>
        <v>1194428</v>
      </c>
      <c r="F100" s="21">
        <f t="shared" si="11"/>
        <v>1221428</v>
      </c>
      <c r="G100" s="21">
        <f t="shared" si="11"/>
        <v>1221428</v>
      </c>
      <c r="H100" s="21">
        <f t="shared" si="11"/>
        <v>1221428</v>
      </c>
    </row>
    <row r="101" spans="1:8" x14ac:dyDescent="0.25">
      <c r="A101" s="5"/>
      <c r="B101" s="5"/>
      <c r="C101" s="5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-1172318</v>
      </c>
      <c r="D102" s="9">
        <f>D82+D95</f>
        <v>-1174428</v>
      </c>
      <c r="E102" s="9">
        <f t="shared" ref="E102:H102" si="12">E82+E95</f>
        <v>-1174428</v>
      </c>
      <c r="F102" s="9">
        <f t="shared" si="12"/>
        <v>-1201428</v>
      </c>
      <c r="G102" s="9">
        <f t="shared" si="12"/>
        <v>-1201428</v>
      </c>
      <c r="H102" s="9">
        <f t="shared" si="12"/>
        <v>-1201428</v>
      </c>
    </row>
    <row r="103" spans="1:8" x14ac:dyDescent="0.25">
      <c r="A103" s="10" t="s">
        <v>3</v>
      </c>
      <c r="B103" s="10"/>
      <c r="C103" s="11">
        <f t="shared" ref="C103:H103" si="13">C102/C16</f>
        <v>-0.79209177123676033</v>
      </c>
      <c r="D103" s="11">
        <f t="shared" si="13"/>
        <v>-0.70198924088463832</v>
      </c>
      <c r="E103" s="11">
        <f t="shared" si="13"/>
        <v>-0.26874782608695652</v>
      </c>
      <c r="F103" s="11">
        <f t="shared" si="13"/>
        <v>-0.71216834617664493</v>
      </c>
      <c r="G103" s="11">
        <f t="shared" si="13"/>
        <v>-0.26118000000000002</v>
      </c>
      <c r="H103" s="11">
        <f t="shared" si="13"/>
        <v>-0.74162222222222218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/>
    </row>
    <row r="123" spans="1:8" x14ac:dyDescent="0.25">
      <c r="A123" s="12" t="s">
        <v>161</v>
      </c>
      <c r="B123" s="12"/>
    </row>
    <row r="124" spans="1:8" x14ac:dyDescent="0.25">
      <c r="A124" t="s">
        <v>162</v>
      </c>
    </row>
    <row r="125" spans="1:8" x14ac:dyDescent="0.25">
      <c r="A125" t="s">
        <v>163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  <mergeCell ref="A113:H113"/>
    <mergeCell ref="A112:H112"/>
    <mergeCell ref="A111:H111"/>
    <mergeCell ref="A110:H110"/>
  </mergeCells>
  <pageMargins left="0.22" right="0.16" top="0.32" bottom="0.19" header="0.31496062992125984" footer="0.17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ColWidth="8.7109375" defaultRowHeight="15" x14ac:dyDescent="0.25"/>
  <cols>
    <col min="1" max="1" width="43.7109375" style="32" customWidth="1"/>
    <col min="2" max="2" width="31.42578125" style="32" customWidth="1"/>
    <col min="3" max="8" width="17.140625" style="32" customWidth="1"/>
    <col min="9" max="16384" width="8.7109375" style="32"/>
  </cols>
  <sheetData>
    <row r="1" spans="1:8" ht="30" x14ac:dyDescent="0.25">
      <c r="A1" s="34" t="s">
        <v>159</v>
      </c>
      <c r="B1" s="31" t="s">
        <v>208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105"/>
      <c r="D5" s="7"/>
      <c r="E5" s="7"/>
      <c r="F5" s="7"/>
      <c r="G5" s="7"/>
      <c r="H5" s="7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x14ac:dyDescent="0.25">
      <c r="A8" s="13" t="s">
        <v>26</v>
      </c>
      <c r="B8" s="13" t="s">
        <v>27</v>
      </c>
      <c r="C8" s="51">
        <v>963612</v>
      </c>
      <c r="D8" s="7">
        <v>1017277</v>
      </c>
      <c r="E8" s="7">
        <v>1048000</v>
      </c>
      <c r="F8" s="7">
        <v>1081466</v>
      </c>
      <c r="G8" s="7">
        <v>1100605</v>
      </c>
      <c r="H8" s="7">
        <v>1119500</v>
      </c>
    </row>
    <row r="9" spans="1:8" x14ac:dyDescent="0.25">
      <c r="A9" s="13" t="s">
        <v>28</v>
      </c>
      <c r="B9" s="13" t="s">
        <v>14</v>
      </c>
      <c r="C9" s="51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x14ac:dyDescent="0.25">
      <c r="A10" s="13" t="s">
        <v>15</v>
      </c>
      <c r="B10" s="13" t="s">
        <v>29</v>
      </c>
      <c r="C10" s="51">
        <v>1755063</v>
      </c>
      <c r="D10" s="7">
        <f>1801281+7238</f>
        <v>1808519</v>
      </c>
      <c r="E10" s="7">
        <f>1846025+12000+28951</f>
        <v>1886976</v>
      </c>
      <c r="F10" s="7">
        <f>1892175+112000+29927</f>
        <v>2034102</v>
      </c>
      <c r="G10" s="7">
        <f>1930019+56210+31025</f>
        <v>2017254</v>
      </c>
      <c r="H10" s="7">
        <f>1978269+96190+32101</f>
        <v>2106560</v>
      </c>
    </row>
    <row r="11" spans="1:8" x14ac:dyDescent="0.25">
      <c r="A11" s="13" t="s">
        <v>16</v>
      </c>
      <c r="B11" s="13" t="s">
        <v>30</v>
      </c>
      <c r="C11" s="51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x14ac:dyDescent="0.25">
      <c r="A12" s="13" t="s">
        <v>31</v>
      </c>
      <c r="B12" s="13" t="s">
        <v>32</v>
      </c>
      <c r="C12" s="51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x14ac:dyDescent="0.25">
      <c r="A13" s="13" t="s">
        <v>17</v>
      </c>
      <c r="B13" s="13" t="s">
        <v>33</v>
      </c>
      <c r="C13" s="51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x14ac:dyDescent="0.25">
      <c r="A14" s="13" t="s">
        <v>18</v>
      </c>
      <c r="B14" s="13" t="s">
        <v>34</v>
      </c>
      <c r="C14" s="51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x14ac:dyDescent="0.25">
      <c r="A15" s="13" t="s">
        <v>35</v>
      </c>
      <c r="B15" s="13" t="s">
        <v>36</v>
      </c>
      <c r="C15" s="51">
        <v>391</v>
      </c>
      <c r="D15" s="7">
        <v>400</v>
      </c>
      <c r="E15" s="7">
        <v>400</v>
      </c>
      <c r="F15" s="7">
        <v>400</v>
      </c>
      <c r="G15" s="7">
        <v>500</v>
      </c>
      <c r="H15" s="7">
        <v>500</v>
      </c>
    </row>
    <row r="16" spans="1:8" x14ac:dyDescent="0.25">
      <c r="A16" s="5" t="s">
        <v>0</v>
      </c>
      <c r="B16" s="5"/>
      <c r="C16" s="7">
        <f>SUM(C7:C15)</f>
        <v>2719066</v>
      </c>
      <c r="D16" s="7">
        <f>SUM(D7:D15)</f>
        <v>2826196</v>
      </c>
      <c r="E16" s="7">
        <f>SUM(E7:E15)</f>
        <v>2935376</v>
      </c>
      <c r="F16" s="7">
        <f>SUM(F7:F15)</f>
        <v>3115968</v>
      </c>
      <c r="G16" s="7">
        <f>SUM(G7:G15)</f>
        <v>3118359</v>
      </c>
      <c r="H16" s="7">
        <f>SUM(H7:H15)</f>
        <v>3226560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f>C8</f>
        <v>963612</v>
      </c>
      <c r="D19" s="19">
        <f>D8</f>
        <v>1017277</v>
      </c>
      <c r="E19" s="19">
        <f>E8</f>
        <v>1048000</v>
      </c>
      <c r="F19" s="19">
        <f>F8</f>
        <v>1081466</v>
      </c>
      <c r="G19" s="19">
        <f>G8</f>
        <v>1100605</v>
      </c>
      <c r="H19" s="19">
        <f>H8</f>
        <v>1119500</v>
      </c>
    </row>
    <row r="20" spans="1:8" s="17" customFormat="1" x14ac:dyDescent="0.25">
      <c r="A20" s="18" t="s">
        <v>148</v>
      </c>
      <c r="B20" s="18" t="s">
        <v>117</v>
      </c>
      <c r="C20" s="19">
        <f>C10</f>
        <v>1755063</v>
      </c>
      <c r="D20" s="19">
        <f>D10</f>
        <v>1808519</v>
      </c>
      <c r="E20" s="19">
        <f>E10</f>
        <v>1886976</v>
      </c>
      <c r="F20" s="19">
        <f>F10</f>
        <v>2034102</v>
      </c>
      <c r="G20" s="19">
        <f>G10</f>
        <v>2017254</v>
      </c>
      <c r="H20" s="19">
        <f>H10</f>
        <v>2106560</v>
      </c>
    </row>
    <row r="21" spans="1:8" s="17" customFormat="1" x14ac:dyDescent="0.25">
      <c r="A21" s="18" t="s">
        <v>114</v>
      </c>
      <c r="B21" s="18" t="s">
        <v>116</v>
      </c>
      <c r="C21" s="19">
        <f>C19+C20</f>
        <v>2718675</v>
      </c>
      <c r="D21" s="19">
        <f>D19+D20</f>
        <v>2825796</v>
      </c>
      <c r="E21" s="19">
        <f>E19+E20</f>
        <v>2934976</v>
      </c>
      <c r="F21" s="19">
        <f>F19+F20</f>
        <v>3115568</v>
      </c>
      <c r="G21" s="19">
        <f>G19+G20</f>
        <v>3117859</v>
      </c>
      <c r="H21" s="19">
        <f>H19+H20</f>
        <v>3226060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x14ac:dyDescent="0.25">
      <c r="A25" s="13" t="s">
        <v>23</v>
      </c>
      <c r="B25" s="13" t="s">
        <v>24</v>
      </c>
      <c r="C25" s="51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x14ac:dyDescent="0.25">
      <c r="A26" s="13" t="s">
        <v>20</v>
      </c>
      <c r="B26" s="13" t="s">
        <v>38</v>
      </c>
      <c r="C26" s="51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25">
      <c r="A27" s="13" t="s">
        <v>21</v>
      </c>
      <c r="B27" s="13" t="s">
        <v>39</v>
      </c>
      <c r="C27" s="51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x14ac:dyDescent="0.25">
      <c r="A28" s="13" t="s">
        <v>22</v>
      </c>
      <c r="B28" s="13" t="s">
        <v>40</v>
      </c>
      <c r="C28" s="51">
        <v>-2571120</v>
      </c>
      <c r="D28" s="7">
        <f>-2679010-7238</f>
        <v>-2686248</v>
      </c>
      <c r="E28" s="7">
        <f>-2701000-12000-28951</f>
        <v>-2741951</v>
      </c>
      <c r="F28" s="7">
        <f>-2752000-112000-29927</f>
        <v>-2893927</v>
      </c>
      <c r="G28" s="7">
        <f>-2812000-56210-31025</f>
        <v>-2899235</v>
      </c>
      <c r="H28" s="7">
        <f>-2857000-96190-32101</f>
        <v>-2985291</v>
      </c>
    </row>
    <row r="29" spans="1:8" x14ac:dyDescent="0.25">
      <c r="A29" s="2" t="s">
        <v>155</v>
      </c>
      <c r="B29" s="2" t="s">
        <v>156</v>
      </c>
      <c r="C29" s="51">
        <v>-1542901</v>
      </c>
      <c r="D29" s="7">
        <f>-1553280-4881</f>
        <v>-1558161</v>
      </c>
      <c r="E29" s="7">
        <f>-1555280-19524</f>
        <v>-1574804</v>
      </c>
      <c r="F29" s="7">
        <f>-1565000-20500</f>
        <v>-1585500</v>
      </c>
      <c r="G29" s="7">
        <f>-1569000-44210-21525</f>
        <v>-1634735</v>
      </c>
      <c r="H29" s="7">
        <f>-1575000-84190-22601</f>
        <v>-1681791</v>
      </c>
    </row>
    <row r="30" spans="1:8" x14ac:dyDescent="0.25">
      <c r="A30" s="13" t="s">
        <v>41</v>
      </c>
      <c r="B30" s="13" t="s">
        <v>42</v>
      </c>
      <c r="C30" s="51">
        <v>-61412</v>
      </c>
      <c r="D30" s="7">
        <v>-62000</v>
      </c>
      <c r="E30" s="7">
        <v>-62500</v>
      </c>
      <c r="F30" s="7">
        <v>-63000</v>
      </c>
      <c r="G30" s="7">
        <v>-63500</v>
      </c>
      <c r="H30" s="7">
        <v>-64000</v>
      </c>
    </row>
    <row r="31" spans="1:8" x14ac:dyDescent="0.25">
      <c r="A31" s="13" t="s">
        <v>43</v>
      </c>
      <c r="B31" s="13" t="s">
        <v>44</v>
      </c>
      <c r="C31" s="51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x14ac:dyDescent="0.25">
      <c r="A32" s="13" t="s">
        <v>45</v>
      </c>
      <c r="B32" s="13" t="s">
        <v>46</v>
      </c>
      <c r="C32" s="51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x14ac:dyDescent="0.25">
      <c r="A33" s="13" t="s">
        <v>47</v>
      </c>
      <c r="B33" s="13" t="s">
        <v>48</v>
      </c>
      <c r="C33" s="51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1:8" x14ac:dyDescent="0.25">
      <c r="A34" s="5" t="s">
        <v>1</v>
      </c>
      <c r="B34" s="5"/>
      <c r="C34" s="7">
        <f>SUM(C24:C28)+SUM(C30:C33)</f>
        <v>-2632532</v>
      </c>
      <c r="D34" s="7">
        <f>SUM(D24:D28)+SUM(D30:D33)</f>
        <v>-2748248</v>
      </c>
      <c r="E34" s="7">
        <f>SUM(E24:E28)+SUM(E30:E33)</f>
        <v>-2804451</v>
      </c>
      <c r="F34" s="7">
        <f>SUM(F24:F28)+SUM(F30:F33)</f>
        <v>-2956927</v>
      </c>
      <c r="G34" s="7">
        <f>SUM(G24:G28)+SUM(G30:G33)</f>
        <v>-2962735</v>
      </c>
      <c r="H34" s="7">
        <f>SUM(H24:H28)+SUM(H30:H33)</f>
        <v>-3049291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1:8" s="17" customFormat="1" x14ac:dyDescent="0.25">
      <c r="A38" s="21" t="s">
        <v>133</v>
      </c>
      <c r="B38" s="21" t="s">
        <v>134</v>
      </c>
      <c r="C38" s="19">
        <f>C28</f>
        <v>-2571120</v>
      </c>
      <c r="D38" s="19">
        <f>D28</f>
        <v>-2686248</v>
      </c>
      <c r="E38" s="19">
        <f>E28</f>
        <v>-2741951</v>
      </c>
      <c r="F38" s="19">
        <f>F28</f>
        <v>-2893927</v>
      </c>
      <c r="G38" s="19">
        <f>G28</f>
        <v>-2899235</v>
      </c>
      <c r="H38" s="19">
        <f>H28</f>
        <v>-2985291</v>
      </c>
    </row>
    <row r="39" spans="1:8" s="17" customFormat="1" x14ac:dyDescent="0.25">
      <c r="A39" s="21" t="s">
        <v>136</v>
      </c>
      <c r="B39" s="21" t="s">
        <v>135</v>
      </c>
      <c r="C39" s="19">
        <v>-246436</v>
      </c>
      <c r="D39" s="19">
        <v>-243400</v>
      </c>
      <c r="E39" s="19">
        <v>-245000</v>
      </c>
      <c r="F39" s="19">
        <v>-245000</v>
      </c>
      <c r="G39" s="19">
        <v>-287000</v>
      </c>
      <c r="H39" s="19">
        <v>-287000</v>
      </c>
    </row>
    <row r="40" spans="1:8" s="17" customFormat="1" x14ac:dyDescent="0.25">
      <c r="A40" s="21" t="s">
        <v>138</v>
      </c>
      <c r="B40" s="21" t="s">
        <v>120</v>
      </c>
      <c r="C40" s="55">
        <v>-183907</v>
      </c>
      <c r="D40" s="19">
        <v>-180110</v>
      </c>
      <c r="E40" s="19">
        <v>-179110</v>
      </c>
      <c r="F40" s="19">
        <v>-180000</v>
      </c>
      <c r="G40" s="19">
        <v>-222000</v>
      </c>
      <c r="H40" s="19">
        <v>-222000</v>
      </c>
    </row>
    <row r="41" spans="1:8" s="17" customFormat="1" x14ac:dyDescent="0.25">
      <c r="A41" s="21" t="s">
        <v>113</v>
      </c>
      <c r="B41" s="21" t="s">
        <v>137</v>
      </c>
      <c r="C41" s="19">
        <f>SUM(C37:C39)</f>
        <v>-2817556</v>
      </c>
      <c r="D41" s="19">
        <f>SUM(D37:D39)</f>
        <v>-2929648</v>
      </c>
      <c r="E41" s="19">
        <f>SUM(E37:E39)</f>
        <v>-2986951</v>
      </c>
      <c r="F41" s="19">
        <f>SUM(F37:F39)</f>
        <v>-3138927</v>
      </c>
      <c r="G41" s="19">
        <f>SUM(G37:G39)</f>
        <v>-3186235</v>
      </c>
      <c r="H41" s="19">
        <f>SUM(H37:H39)</f>
        <v>-3272291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86534</v>
      </c>
      <c r="D43" s="9">
        <f>D16+D34</f>
        <v>77948</v>
      </c>
      <c r="E43" s="9">
        <f>E16+E34</f>
        <v>130925</v>
      </c>
      <c r="F43" s="9">
        <f>F16+F34</f>
        <v>159041</v>
      </c>
      <c r="G43" s="9">
        <f>G16+G34</f>
        <v>155624</v>
      </c>
      <c r="H43" s="9">
        <f>H16+H34</f>
        <v>177269</v>
      </c>
    </row>
    <row r="44" spans="1:8" x14ac:dyDescent="0.25">
      <c r="A44" s="10" t="s">
        <v>3</v>
      </c>
      <c r="B44" s="10"/>
      <c r="C44" s="63">
        <f>C43/C16</f>
        <v>3.182489869683193E-2</v>
      </c>
      <c r="D44" s="63">
        <f>D43/D16</f>
        <v>2.7580535815633453E-2</v>
      </c>
      <c r="E44" s="63">
        <f>E43/E16</f>
        <v>4.4602463193812308E-2</v>
      </c>
      <c r="F44" s="63">
        <f>F43/F16</f>
        <v>5.1040639698482139E-2</v>
      </c>
      <c r="G44" s="63">
        <f>G43/G16</f>
        <v>4.9905735677001913E-2</v>
      </c>
      <c r="H44" s="63">
        <f>H43/H16</f>
        <v>5.4940555886145E-2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23">
        <f>C21+C41</f>
        <v>-98881</v>
      </c>
      <c r="D46" s="23">
        <f>D21+D41</f>
        <v>-103852</v>
      </c>
      <c r="E46" s="23">
        <f>E21+E41</f>
        <v>-51975</v>
      </c>
      <c r="F46" s="23">
        <f>F21+F41</f>
        <v>-23359</v>
      </c>
      <c r="G46" s="23">
        <f>G21+G41</f>
        <v>-68376</v>
      </c>
      <c r="H46" s="23">
        <f>H21+H41</f>
        <v>-46231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>
        <v>-287464</v>
      </c>
      <c r="D49" s="7">
        <v>-274350</v>
      </c>
      <c r="E49" s="7">
        <v>-1191824</v>
      </c>
      <c r="F49" s="7">
        <v>-2663183</v>
      </c>
      <c r="G49" s="7">
        <v>-9318145</v>
      </c>
      <c r="H49" s="7">
        <v>-9525225</v>
      </c>
    </row>
    <row r="50" spans="1:8" x14ac:dyDescent="0.25">
      <c r="A50" s="2" t="s">
        <v>142</v>
      </c>
      <c r="B50" s="5"/>
      <c r="C50" s="116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x14ac:dyDescent="0.25">
      <c r="A51" s="2" t="s">
        <v>4</v>
      </c>
      <c r="B51" s="5"/>
      <c r="C51" s="51">
        <v>130000</v>
      </c>
      <c r="D51" s="7">
        <v>200000</v>
      </c>
      <c r="E51" s="7">
        <v>1191824</v>
      </c>
      <c r="F51" s="7">
        <v>2663183</v>
      </c>
      <c r="G51" s="7">
        <v>9318145</v>
      </c>
      <c r="H51" s="7">
        <v>9525225</v>
      </c>
    </row>
    <row r="52" spans="1:8" x14ac:dyDescent="0.25">
      <c r="A52" s="2" t="s">
        <v>5</v>
      </c>
      <c r="B52" s="5"/>
      <c r="C52" s="51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x14ac:dyDescent="0.25">
      <c r="A53" s="2" t="s">
        <v>143</v>
      </c>
      <c r="B53" s="5"/>
      <c r="C53" s="51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x14ac:dyDescent="0.25">
      <c r="A54" s="2" t="s">
        <v>108</v>
      </c>
      <c r="B54" s="5"/>
      <c r="C54" s="51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x14ac:dyDescent="0.25">
      <c r="A55" s="2" t="s">
        <v>144</v>
      </c>
      <c r="B55" s="5"/>
      <c r="C55" s="51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x14ac:dyDescent="0.25">
      <c r="A56" s="2" t="s">
        <v>109</v>
      </c>
      <c r="B56" s="5"/>
      <c r="C56" s="51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1:8" x14ac:dyDescent="0.25">
      <c r="A57" s="2" t="s">
        <v>145</v>
      </c>
      <c r="B57" s="5"/>
      <c r="C57" s="51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x14ac:dyDescent="0.25">
      <c r="A58" s="2" t="s">
        <v>110</v>
      </c>
      <c r="B58" s="5"/>
      <c r="C58" s="51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x14ac:dyDescent="0.25">
      <c r="A59" s="2" t="s">
        <v>146</v>
      </c>
      <c r="B59" s="5"/>
      <c r="C59" s="51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x14ac:dyDescent="0.25">
      <c r="A60" s="2" t="s">
        <v>111</v>
      </c>
      <c r="B60" s="5"/>
      <c r="C60" s="54">
        <v>-134</v>
      </c>
      <c r="D60" s="7">
        <v>-135</v>
      </c>
      <c r="E60" s="7">
        <v>-135</v>
      </c>
      <c r="F60" s="7">
        <v>-135</v>
      </c>
      <c r="G60" s="7">
        <v>1000</v>
      </c>
      <c r="H60" s="7">
        <v>1000</v>
      </c>
    </row>
    <row r="61" spans="1:8" x14ac:dyDescent="0.25">
      <c r="A61" s="2" t="s">
        <v>112</v>
      </c>
      <c r="B61" s="5"/>
      <c r="C61" s="51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s="17" customFormat="1" x14ac:dyDescent="0.25">
      <c r="A62" s="20" t="s">
        <v>6</v>
      </c>
      <c r="B62" s="20"/>
      <c r="C62" s="16">
        <f>SUM(C49:C61)</f>
        <v>-157598</v>
      </c>
      <c r="D62" s="16">
        <f>SUM(D49:D61)</f>
        <v>-74485</v>
      </c>
      <c r="E62" s="16">
        <f>SUM(E49:E61)</f>
        <v>-135</v>
      </c>
      <c r="F62" s="16">
        <f>SUM(F49:F61)</f>
        <v>-135</v>
      </c>
      <c r="G62" s="16">
        <f>SUM(G49:G61)</f>
        <v>1000</v>
      </c>
      <c r="H62" s="16">
        <f>SUM(H49:H61)</f>
        <v>1000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-71064</v>
      </c>
      <c r="D64" s="9">
        <f>D43+D62</f>
        <v>3463</v>
      </c>
      <c r="E64" s="9">
        <f>E43+E62</f>
        <v>130790</v>
      </c>
      <c r="F64" s="9">
        <f>F43+F62</f>
        <v>158906</v>
      </c>
      <c r="G64" s="9">
        <f>G43+G62</f>
        <v>156624</v>
      </c>
      <c r="H64" s="9">
        <f>H43+H62</f>
        <v>178269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1">
        <v>4491</v>
      </c>
      <c r="D67" s="7">
        <v>4658</v>
      </c>
      <c r="E67" s="7">
        <v>4831</v>
      </c>
      <c r="F67" s="7">
        <v>13135</v>
      </c>
      <c r="G67" s="7">
        <v>0</v>
      </c>
      <c r="H67" s="7">
        <v>0</v>
      </c>
    </row>
    <row r="68" spans="1:8" s="17" customFormat="1" x14ac:dyDescent="0.25">
      <c r="A68" s="24" t="s">
        <v>60</v>
      </c>
      <c r="B68" s="15" t="s">
        <v>129</v>
      </c>
      <c r="C68" s="51">
        <v>22624</v>
      </c>
      <c r="D68" s="7">
        <v>17966</v>
      </c>
      <c r="E68" s="7">
        <v>13135</v>
      </c>
      <c r="F68" s="7">
        <v>0</v>
      </c>
      <c r="G68" s="7">
        <v>0</v>
      </c>
      <c r="H68" s="7">
        <v>0</v>
      </c>
    </row>
    <row r="69" spans="1:8" ht="60" x14ac:dyDescent="0.25">
      <c r="A69" s="13" t="s">
        <v>61</v>
      </c>
      <c r="B69" s="26" t="s">
        <v>51</v>
      </c>
      <c r="C69" s="51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x14ac:dyDescent="0.25">
      <c r="A70" s="13" t="s">
        <v>52</v>
      </c>
      <c r="B70" s="13" t="s">
        <v>62</v>
      </c>
      <c r="C70" s="51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</row>
    <row r="71" spans="1:8" x14ac:dyDescent="0.25">
      <c r="A71" s="13" t="s">
        <v>63</v>
      </c>
      <c r="B71" s="13" t="s">
        <v>64</v>
      </c>
      <c r="C71" s="51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x14ac:dyDescent="0.25">
      <c r="A72" s="13" t="s">
        <v>65</v>
      </c>
      <c r="B72" s="13" t="s">
        <v>66</v>
      </c>
      <c r="C72" s="51">
        <v>84209</v>
      </c>
      <c r="D72" s="7">
        <v>85000</v>
      </c>
      <c r="E72" s="7">
        <v>90000</v>
      </c>
      <c r="F72" s="7">
        <v>95000</v>
      </c>
      <c r="G72" s="7">
        <v>100000</v>
      </c>
      <c r="H72" s="7">
        <v>105000</v>
      </c>
    </row>
    <row r="73" spans="1:8" x14ac:dyDescent="0.25">
      <c r="A73" s="13" t="s">
        <v>67</v>
      </c>
      <c r="B73" s="13" t="s">
        <v>68</v>
      </c>
      <c r="C73" s="51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x14ac:dyDescent="0.25">
      <c r="A74" s="13" t="s">
        <v>53</v>
      </c>
      <c r="B74" s="13" t="s">
        <v>69</v>
      </c>
      <c r="C74" s="51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x14ac:dyDescent="0.25">
      <c r="A75" s="13" t="s">
        <v>70</v>
      </c>
      <c r="B75" s="13" t="s">
        <v>71</v>
      </c>
      <c r="C75" s="51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x14ac:dyDescent="0.25">
      <c r="A76" s="13" t="s">
        <v>54</v>
      </c>
      <c r="B76" s="13" t="s">
        <v>58</v>
      </c>
      <c r="C76" s="51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x14ac:dyDescent="0.25">
      <c r="A77" s="13" t="s">
        <v>55</v>
      </c>
      <c r="B77" s="13" t="s">
        <v>72</v>
      </c>
      <c r="C77" s="51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45" x14ac:dyDescent="0.25">
      <c r="A78" s="13" t="s">
        <v>73</v>
      </c>
      <c r="B78" s="26" t="s">
        <v>74</v>
      </c>
      <c r="C78" s="51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x14ac:dyDescent="0.25">
      <c r="A79" s="13" t="s">
        <v>56</v>
      </c>
      <c r="B79" s="13" t="s">
        <v>75</v>
      </c>
      <c r="C79" s="51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x14ac:dyDescent="0.25">
      <c r="A80" s="13" t="s">
        <v>76</v>
      </c>
      <c r="B80" s="13" t="s">
        <v>77</v>
      </c>
      <c r="C80" s="51">
        <v>251752</v>
      </c>
      <c r="D80" s="7">
        <v>248397</v>
      </c>
      <c r="E80" s="7">
        <v>148397</v>
      </c>
      <c r="F80" s="7">
        <v>148397</v>
      </c>
      <c r="G80" s="7">
        <v>148397</v>
      </c>
      <c r="H80" s="7">
        <v>148397</v>
      </c>
    </row>
    <row r="81" spans="1:8" ht="15" customHeight="1" x14ac:dyDescent="0.25">
      <c r="A81" s="13" t="s">
        <v>57</v>
      </c>
      <c r="B81" s="13" t="s">
        <v>78</v>
      </c>
      <c r="C81" s="51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x14ac:dyDescent="0.25">
      <c r="A82" s="5" t="s">
        <v>8</v>
      </c>
      <c r="B82" s="5"/>
      <c r="C82" s="7">
        <f>SUM(C67:C81)</f>
        <v>363076</v>
      </c>
      <c r="D82" s="7">
        <f>SUM(D67:D81)</f>
        <v>356021</v>
      </c>
      <c r="E82" s="7">
        <f>SUM(E67:E81)</f>
        <v>256363</v>
      </c>
      <c r="F82" s="7">
        <f>SUM(F67:F81)</f>
        <v>256532</v>
      </c>
      <c r="G82" s="7">
        <f>SUM(G67:G81)</f>
        <v>248397</v>
      </c>
      <c r="H82" s="7">
        <f>SUM(H67:H81)</f>
        <v>253397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/>
      <c r="D84" s="19"/>
      <c r="E84" s="19"/>
      <c r="F84" s="19"/>
      <c r="G84" s="19"/>
      <c r="H84" s="19"/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-731536</v>
      </c>
      <c r="D87" s="16">
        <v>-668393</v>
      </c>
      <c r="E87" s="16">
        <v>-616418</v>
      </c>
      <c r="F87" s="16">
        <v>-593059</v>
      </c>
      <c r="G87" s="16">
        <v>-524683</v>
      </c>
      <c r="H87" s="16">
        <v>-478452</v>
      </c>
    </row>
    <row r="88" spans="1:8" x14ac:dyDescent="0.25">
      <c r="A88" s="13" t="s">
        <v>88</v>
      </c>
      <c r="B88" s="2" t="s">
        <v>81</v>
      </c>
      <c r="C88" s="51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13" t="s">
        <v>88</v>
      </c>
      <c r="B89" s="2" t="s">
        <v>82</v>
      </c>
      <c r="C89" s="51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13" t="s">
        <v>89</v>
      </c>
      <c r="B90" s="2" t="s">
        <v>83</v>
      </c>
      <c r="C90" s="51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13" t="s">
        <v>90</v>
      </c>
      <c r="B91" s="2" t="s">
        <v>84</v>
      </c>
      <c r="C91" s="51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13" t="s">
        <v>79</v>
      </c>
      <c r="B92" s="2" t="s">
        <v>85</v>
      </c>
      <c r="C92" s="51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13" t="s">
        <v>91</v>
      </c>
      <c r="B93" s="2" t="s">
        <v>86</v>
      </c>
      <c r="C93" s="51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13" t="s">
        <v>92</v>
      </c>
      <c r="B94" s="2" t="s">
        <v>87</v>
      </c>
      <c r="C94" s="51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5" t="s">
        <v>10</v>
      </c>
      <c r="B95" s="5"/>
      <c r="C95" s="7">
        <f>SUM(C87:C94)</f>
        <v>-731536</v>
      </c>
      <c r="D95" s="7">
        <f>SUM(D87:D94)</f>
        <v>-668393</v>
      </c>
      <c r="E95" s="7">
        <f>SUM(E87:E94)</f>
        <v>-616418</v>
      </c>
      <c r="F95" s="7">
        <f>SUM(F87:F94)</f>
        <v>-593059</v>
      </c>
      <c r="G95" s="7">
        <f>SUM(G87:G94)</f>
        <v>-524683</v>
      </c>
      <c r="H95" s="7">
        <f>SUM(H87:H94)</f>
        <v>-478452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850322</v>
      </c>
      <c r="D97" s="19">
        <v>746470</v>
      </c>
      <c r="E97" s="19">
        <v>694495</v>
      </c>
      <c r="F97" s="19">
        <v>671136</v>
      </c>
      <c r="G97" s="19">
        <v>602760</v>
      </c>
      <c r="H97" s="19">
        <v>556529</v>
      </c>
    </row>
    <row r="98" spans="1:8" s="17" customFormat="1" x14ac:dyDescent="0.25">
      <c r="A98" s="21" t="s">
        <v>122</v>
      </c>
      <c r="B98" s="21" t="s">
        <v>127</v>
      </c>
      <c r="C98" s="55">
        <v>9256440</v>
      </c>
      <c r="D98" s="19">
        <v>9350680</v>
      </c>
      <c r="E98" s="19">
        <v>10363394</v>
      </c>
      <c r="F98" s="19">
        <v>12846577</v>
      </c>
      <c r="G98" s="19">
        <v>21942722</v>
      </c>
      <c r="H98" s="19">
        <v>31245947</v>
      </c>
    </row>
    <row r="99" spans="1:8" s="17" customFormat="1" x14ac:dyDescent="0.25">
      <c r="A99" s="21" t="s">
        <v>131</v>
      </c>
      <c r="B99" s="21"/>
      <c r="C99" s="55">
        <v>9594957</v>
      </c>
      <c r="D99" s="19">
        <v>9491105</v>
      </c>
      <c r="E99" s="19">
        <v>9439130</v>
      </c>
      <c r="F99" s="19">
        <v>9415771</v>
      </c>
      <c r="G99" s="19">
        <v>9347395</v>
      </c>
      <c r="H99" s="19">
        <v>9301164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10106762</v>
      </c>
      <c r="D100" s="55">
        <f>D97+D98</f>
        <v>10097150</v>
      </c>
      <c r="E100" s="55">
        <f>E97+E98</f>
        <v>11057889</v>
      </c>
      <c r="F100" s="55">
        <f>F97+F98</f>
        <v>13517713</v>
      </c>
      <c r="G100" s="55">
        <f>G97+G98</f>
        <v>22545482</v>
      </c>
      <c r="H100" s="55">
        <f>H97+H98</f>
        <v>31802476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-368460</v>
      </c>
      <c r="D102" s="9">
        <f>D82+D95</f>
        <v>-312372</v>
      </c>
      <c r="E102" s="9">
        <f>E82+E95</f>
        <v>-360055</v>
      </c>
      <c r="F102" s="9">
        <f>F82+F95</f>
        <v>-336527</v>
      </c>
      <c r="G102" s="9">
        <f>G82+G95</f>
        <v>-276286</v>
      </c>
      <c r="H102" s="9">
        <f>H82+H95</f>
        <v>-225055</v>
      </c>
    </row>
    <row r="103" spans="1:8" x14ac:dyDescent="0.25">
      <c r="A103" s="10" t="s">
        <v>3</v>
      </c>
      <c r="B103" s="10"/>
      <c r="C103" s="11">
        <f>C102/C16</f>
        <v>-0.13550976695674177</v>
      </c>
      <c r="D103" s="11">
        <f>D102/D16</f>
        <v>-0.11052736611331981</v>
      </c>
      <c r="E103" s="11">
        <f>E102/E16</f>
        <v>-0.12266060634140226</v>
      </c>
      <c r="F103" s="11">
        <f>F102/F16</f>
        <v>-0.10800078819808162</v>
      </c>
      <c r="G103" s="11">
        <f>G102/G16</f>
        <v>-8.8599805218065014E-2</v>
      </c>
      <c r="H103" s="11">
        <f>H102/H16</f>
        <v>-6.9750756223346227E-2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 t="s">
        <v>207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zoomScaleNormal="100"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99" t="s">
        <v>159</v>
      </c>
      <c r="B1" s="67" t="s">
        <v>209</v>
      </c>
    </row>
    <row r="2" spans="1:8" x14ac:dyDescent="0.25">
      <c r="A2" s="30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105"/>
      <c r="D5" s="7"/>
      <c r="E5" s="7"/>
      <c r="F5" s="7"/>
      <c r="G5" s="7"/>
      <c r="H5" s="7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1282100</v>
      </c>
      <c r="D8" s="7">
        <v>1235000</v>
      </c>
      <c r="E8" s="7">
        <v>1300000</v>
      </c>
      <c r="F8" s="7">
        <v>1320000</v>
      </c>
      <c r="G8" s="7">
        <v>1350000</v>
      </c>
      <c r="H8" s="7">
        <v>1400000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1164701</v>
      </c>
      <c r="D10" s="7">
        <v>1239584</v>
      </c>
      <c r="E10" s="7">
        <v>1327500</v>
      </c>
      <c r="F10" s="7">
        <v>1427500</v>
      </c>
      <c r="G10" s="7">
        <v>1677500</v>
      </c>
      <c r="H10" s="7">
        <v>1779200</v>
      </c>
    </row>
    <row r="11" spans="1:8" x14ac:dyDescent="0.25">
      <c r="A11" s="13" t="s">
        <v>16</v>
      </c>
      <c r="B11" s="13" t="s">
        <v>30</v>
      </c>
      <c r="C11" s="51"/>
      <c r="D11" s="7"/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/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2446801</v>
      </c>
      <c r="D16" s="7">
        <f t="shared" ref="D16:H16" si="0">SUM(D7:D15)</f>
        <v>2474584</v>
      </c>
      <c r="E16" s="7">
        <f t="shared" si="0"/>
        <v>2627500</v>
      </c>
      <c r="F16" s="7">
        <f t="shared" si="0"/>
        <v>2747500</v>
      </c>
      <c r="G16" s="7">
        <f t="shared" si="0"/>
        <v>3027500</v>
      </c>
      <c r="H16" s="7">
        <f t="shared" si="0"/>
        <v>3179200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v>1282100</v>
      </c>
      <c r="D19" s="19">
        <v>1235000</v>
      </c>
      <c r="E19" s="19">
        <v>1300000</v>
      </c>
      <c r="F19" s="19">
        <v>1320000</v>
      </c>
      <c r="G19" s="19">
        <v>1350000</v>
      </c>
      <c r="H19" s="19">
        <v>1400000</v>
      </c>
    </row>
    <row r="20" spans="1:8" s="17" customFormat="1" x14ac:dyDescent="0.25">
      <c r="A20" s="18" t="s">
        <v>148</v>
      </c>
      <c r="B20" s="18" t="s">
        <v>117</v>
      </c>
      <c r="C20" s="19">
        <v>1164701</v>
      </c>
      <c r="D20" s="19">
        <v>1239584</v>
      </c>
      <c r="E20" s="19">
        <v>1327500</v>
      </c>
      <c r="F20" s="19">
        <v>1427500</v>
      </c>
      <c r="G20" s="19">
        <v>1677500</v>
      </c>
      <c r="H20" s="19">
        <v>1779200</v>
      </c>
    </row>
    <row r="21" spans="1:8" s="17" customFormat="1" x14ac:dyDescent="0.25">
      <c r="A21" s="18" t="s">
        <v>114</v>
      </c>
      <c r="B21" s="18" t="s">
        <v>116</v>
      </c>
      <c r="C21" s="19">
        <f>SUM(C19:C20)</f>
        <v>2446801</v>
      </c>
      <c r="D21" s="19">
        <v>2474584</v>
      </c>
      <c r="E21" s="19">
        <v>2627500</v>
      </c>
      <c r="F21" s="19">
        <v>2747500</v>
      </c>
      <c r="G21" s="19">
        <v>3027500</v>
      </c>
      <c r="H21" s="19">
        <v>3179200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v>-2295938</v>
      </c>
      <c r="D28" s="7">
        <v>-2474584</v>
      </c>
      <c r="E28" s="7">
        <v>-2627500</v>
      </c>
      <c r="F28" s="7">
        <v>-2747500</v>
      </c>
      <c r="G28" s="7">
        <v>-3027500</v>
      </c>
      <c r="H28" s="7">
        <v>-3179200</v>
      </c>
    </row>
    <row r="29" spans="1:8" x14ac:dyDescent="0.25">
      <c r="A29" s="2" t="s">
        <v>155</v>
      </c>
      <c r="B29" s="2" t="s">
        <v>156</v>
      </c>
      <c r="C29" s="51">
        <v>-1458868</v>
      </c>
      <c r="D29" s="7"/>
      <c r="E29" s="7"/>
      <c r="F29" s="7"/>
      <c r="G29" s="7"/>
      <c r="H29" s="7"/>
    </row>
    <row r="30" spans="1:8" x14ac:dyDescent="0.25">
      <c r="A30" s="13" t="s">
        <v>41</v>
      </c>
      <c r="B30" s="13" t="s">
        <v>42</v>
      </c>
      <c r="C30" s="51">
        <v>-613</v>
      </c>
      <c r="D30" s="7">
        <v>-614</v>
      </c>
      <c r="E30" s="7">
        <v>-614</v>
      </c>
      <c r="F30" s="7">
        <v>-614</v>
      </c>
      <c r="G30" s="7">
        <v>-614</v>
      </c>
      <c r="H30" s="7">
        <v>-614</v>
      </c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/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/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-2296551</v>
      </c>
      <c r="D34" s="7">
        <f t="shared" ref="D34:H34" si="1">SUM(D24:D28)+SUM(D30:D33)</f>
        <v>-2475198</v>
      </c>
      <c r="E34" s="7">
        <f t="shared" si="1"/>
        <v>-2628114</v>
      </c>
      <c r="F34" s="7">
        <f t="shared" si="1"/>
        <v>-2748114</v>
      </c>
      <c r="G34" s="7">
        <f t="shared" si="1"/>
        <v>-3028114</v>
      </c>
      <c r="H34" s="7">
        <f t="shared" si="1"/>
        <v>-3179814</v>
      </c>
    </row>
    <row r="35" spans="1:8" x14ac:dyDescent="0.25">
      <c r="A35" s="5"/>
      <c r="B35" s="5"/>
      <c r="C35" s="16"/>
      <c r="D35" s="16"/>
      <c r="E35" s="16"/>
      <c r="F35" s="16"/>
      <c r="G35" s="16"/>
      <c r="H35" s="16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/>
      <c r="D37" s="19"/>
      <c r="E37" s="19"/>
      <c r="F37" s="19"/>
      <c r="G37" s="19"/>
      <c r="H37" s="19"/>
    </row>
    <row r="38" spans="1:8" s="17" customFormat="1" x14ac:dyDescent="0.25">
      <c r="A38" s="21" t="s">
        <v>133</v>
      </c>
      <c r="B38" s="21" t="s">
        <v>134</v>
      </c>
      <c r="C38" s="19">
        <v>-2295938</v>
      </c>
      <c r="D38" s="19">
        <v>-2475198</v>
      </c>
      <c r="E38" s="19">
        <v>-2628114</v>
      </c>
      <c r="F38" s="19">
        <v>-2748114</v>
      </c>
      <c r="G38" s="19">
        <v>-3028114</v>
      </c>
      <c r="H38" s="19">
        <v>-3179814</v>
      </c>
    </row>
    <row r="39" spans="1:8" s="17" customFormat="1" x14ac:dyDescent="0.25">
      <c r="A39" s="21" t="s">
        <v>136</v>
      </c>
      <c r="B39" s="21" t="s">
        <v>135</v>
      </c>
      <c r="C39" s="19">
        <v>-138774</v>
      </c>
      <c r="D39" s="19">
        <v>-137614</v>
      </c>
      <c r="E39" s="19">
        <v>-135614</v>
      </c>
      <c r="F39" s="19">
        <v>-281784</v>
      </c>
      <c r="G39" s="19">
        <v>-279784</v>
      </c>
      <c r="H39" s="19">
        <v>-292984</v>
      </c>
    </row>
    <row r="40" spans="1:8" s="17" customFormat="1" x14ac:dyDescent="0.25">
      <c r="A40" s="21" t="s">
        <v>138</v>
      </c>
      <c r="B40" s="21" t="s">
        <v>120</v>
      </c>
      <c r="C40" s="55">
        <v>-138161</v>
      </c>
      <c r="D40" s="19">
        <v>-137000</v>
      </c>
      <c r="E40" s="19">
        <v>-135000</v>
      </c>
      <c r="F40" s="19">
        <v>-281170</v>
      </c>
      <c r="G40" s="19">
        <v>-279170</v>
      </c>
      <c r="H40" s="19">
        <v>-292370</v>
      </c>
    </row>
    <row r="41" spans="1:8" s="17" customFormat="1" x14ac:dyDescent="0.25">
      <c r="A41" s="21" t="s">
        <v>113</v>
      </c>
      <c r="B41" s="21" t="s">
        <v>137</v>
      </c>
      <c r="C41" s="19">
        <f>SUM(C37:C39)</f>
        <v>-2434712</v>
      </c>
      <c r="D41" s="19">
        <f t="shared" ref="D41:H41" si="2">SUM(D37:D39)</f>
        <v>-2612812</v>
      </c>
      <c r="E41" s="19">
        <f t="shared" si="2"/>
        <v>-2763728</v>
      </c>
      <c r="F41" s="19">
        <f t="shared" si="2"/>
        <v>-3029898</v>
      </c>
      <c r="G41" s="19">
        <f t="shared" si="2"/>
        <v>-3307898</v>
      </c>
      <c r="H41" s="19">
        <f t="shared" si="2"/>
        <v>-3472798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 t="shared" ref="C43:H43" si="3">C16+C34</f>
        <v>150250</v>
      </c>
      <c r="D43" s="9">
        <f t="shared" si="3"/>
        <v>-614</v>
      </c>
      <c r="E43" s="9">
        <f t="shared" si="3"/>
        <v>-614</v>
      </c>
      <c r="F43" s="9">
        <f t="shared" si="3"/>
        <v>-614</v>
      </c>
      <c r="G43" s="9">
        <f t="shared" si="3"/>
        <v>-614</v>
      </c>
      <c r="H43" s="9">
        <f t="shared" si="3"/>
        <v>-614</v>
      </c>
    </row>
    <row r="44" spans="1:8" x14ac:dyDescent="0.25">
      <c r="A44" s="10" t="s">
        <v>3</v>
      </c>
      <c r="B44" s="10"/>
      <c r="C44" s="11">
        <f t="shared" ref="C44:H44" si="4">C43/C16</f>
        <v>6.1406710231032273E-2</v>
      </c>
      <c r="D44" s="11">
        <f t="shared" si="4"/>
        <v>-2.4812251271324798E-4</v>
      </c>
      <c r="E44" s="11">
        <f t="shared" si="4"/>
        <v>-2.3368220742150334E-4</v>
      </c>
      <c r="F44" s="11">
        <f t="shared" si="4"/>
        <v>-2.2347588717015469E-4</v>
      </c>
      <c r="G44" s="11">
        <f t="shared" si="4"/>
        <v>-2.028075970272502E-4</v>
      </c>
      <c r="H44" s="11">
        <f t="shared" si="4"/>
        <v>-1.9313034725717163E-4</v>
      </c>
    </row>
    <row r="45" spans="1:8" x14ac:dyDescent="0.25">
      <c r="A45" s="10"/>
      <c r="B45" s="10"/>
      <c r="C45" s="11"/>
      <c r="D45" s="11"/>
      <c r="E45" s="11"/>
      <c r="F45" s="11"/>
      <c r="G45" s="11"/>
      <c r="H45" s="11"/>
    </row>
    <row r="46" spans="1:8" s="17" customFormat="1" x14ac:dyDescent="0.25">
      <c r="A46" s="22" t="s">
        <v>130</v>
      </c>
      <c r="B46" s="22" t="s">
        <v>141</v>
      </c>
      <c r="C46" s="23">
        <f>C21+C41</f>
        <v>12089</v>
      </c>
      <c r="D46" s="23">
        <f t="shared" ref="D46:H46" si="5">D21+D41</f>
        <v>-138228</v>
      </c>
      <c r="E46" s="23">
        <f t="shared" si="5"/>
        <v>-136228</v>
      </c>
      <c r="F46" s="23">
        <f t="shared" si="5"/>
        <v>-282398</v>
      </c>
      <c r="G46" s="23">
        <f t="shared" si="5"/>
        <v>-280398</v>
      </c>
      <c r="H46" s="23">
        <f t="shared" si="5"/>
        <v>-293598</v>
      </c>
    </row>
    <row r="47" spans="1:8" x14ac:dyDescent="0.25">
      <c r="A47" s="10"/>
      <c r="B47" s="10"/>
      <c r="C47" s="11"/>
      <c r="D47" s="11"/>
      <c r="E47" s="11"/>
      <c r="F47" s="11"/>
      <c r="G47" s="11"/>
      <c r="H47" s="11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>
        <v>5145</v>
      </c>
      <c r="D49" s="7"/>
      <c r="E49" s="7"/>
      <c r="F49" s="7"/>
      <c r="G49" s="7"/>
      <c r="H49" s="7"/>
    </row>
    <row r="50" spans="1:8" x14ac:dyDescent="0.25">
      <c r="A50" s="2" t="s">
        <v>142</v>
      </c>
      <c r="B50" s="5"/>
      <c r="C50" s="51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/>
      <c r="D51" s="7"/>
      <c r="E51" s="7">
        <v>1400000</v>
      </c>
      <c r="F51" s="7">
        <v>2573400</v>
      </c>
      <c r="G51" s="7">
        <v>165000</v>
      </c>
      <c r="H51" s="7">
        <v>150000</v>
      </c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900</v>
      </c>
      <c r="D60" s="7"/>
      <c r="E60" s="7"/>
      <c r="F60" s="7"/>
      <c r="G60" s="7"/>
      <c r="H60" s="7"/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6045</v>
      </c>
      <c r="D62" s="16">
        <f>SUM(D49:D61)</f>
        <v>0</v>
      </c>
      <c r="E62" s="16">
        <f t="shared" ref="E62:H62" si="6">SUM(E49:E61)</f>
        <v>1400000</v>
      </c>
      <c r="F62" s="16">
        <f t="shared" si="6"/>
        <v>2573400</v>
      </c>
      <c r="G62" s="16">
        <f t="shared" si="6"/>
        <v>165000</v>
      </c>
      <c r="H62" s="16">
        <f t="shared" si="6"/>
        <v>150000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156295</v>
      </c>
      <c r="D64" s="9">
        <f t="shared" ref="D64:H64" si="7">D43+D62</f>
        <v>-614</v>
      </c>
      <c r="E64" s="9">
        <f t="shared" si="7"/>
        <v>1399386</v>
      </c>
      <c r="F64" s="9">
        <f t="shared" si="7"/>
        <v>2572786</v>
      </c>
      <c r="G64" s="9">
        <f t="shared" si="7"/>
        <v>164386</v>
      </c>
      <c r="H64" s="9">
        <f t="shared" si="7"/>
        <v>149386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/>
      <c r="D67" s="54"/>
      <c r="E67" s="54"/>
      <c r="F67" s="54"/>
      <c r="G67" s="54"/>
      <c r="H67" s="54"/>
    </row>
    <row r="68" spans="1:8" s="17" customFormat="1" x14ac:dyDescent="0.25">
      <c r="A68" s="24" t="s">
        <v>60</v>
      </c>
      <c r="B68" s="15" t="s">
        <v>129</v>
      </c>
      <c r="C68" s="54"/>
      <c r="D68" s="54"/>
      <c r="E68" s="54"/>
      <c r="F68" s="54"/>
      <c r="G68" s="54"/>
      <c r="H68" s="54"/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>
        <v>210000</v>
      </c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210000</v>
      </c>
      <c r="D82" s="7">
        <f>SUM(D67:D81)</f>
        <v>0</v>
      </c>
      <c r="E82" s="7">
        <f t="shared" ref="E82:H82" si="8">SUM(E67:E81)</f>
        <v>0</v>
      </c>
      <c r="F82" s="7">
        <f t="shared" si="8"/>
        <v>0</v>
      </c>
      <c r="G82" s="7">
        <f t="shared" si="8"/>
        <v>0</v>
      </c>
      <c r="H82" s="7">
        <f t="shared" si="8"/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v>539903</v>
      </c>
      <c r="D84" s="19">
        <v>330000</v>
      </c>
      <c r="E84" s="19">
        <v>330000</v>
      </c>
      <c r="F84" s="19">
        <v>330000</v>
      </c>
      <c r="G84" s="19">
        <v>330000</v>
      </c>
      <c r="H84" s="19">
        <v>330000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-518775</v>
      </c>
      <c r="D87" s="16">
        <v>-308775</v>
      </c>
      <c r="E87" s="16">
        <v>-160000</v>
      </c>
      <c r="F87" s="16">
        <v>-160000</v>
      </c>
      <c r="G87" s="16">
        <v>-160000</v>
      </c>
      <c r="H87" s="16">
        <v>-160000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-518775</v>
      </c>
      <c r="D95" s="7">
        <f t="shared" ref="D95:H95" si="9">SUM(D87:D94)</f>
        <v>-308775</v>
      </c>
      <c r="E95" s="7">
        <f t="shared" si="9"/>
        <v>-160000</v>
      </c>
      <c r="F95" s="7">
        <f t="shared" si="9"/>
        <v>-160000</v>
      </c>
      <c r="G95" s="7">
        <f t="shared" si="9"/>
        <v>-160000</v>
      </c>
      <c r="H95" s="7">
        <f t="shared" si="9"/>
        <v>-160000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612459</v>
      </c>
      <c r="D97" s="19">
        <v>402459</v>
      </c>
      <c r="E97" s="19">
        <v>260000</v>
      </c>
      <c r="F97" s="19">
        <v>260000</v>
      </c>
      <c r="G97" s="19">
        <v>260000</v>
      </c>
      <c r="H97" s="19">
        <v>260000</v>
      </c>
    </row>
    <row r="98" spans="1:8" s="17" customFormat="1" x14ac:dyDescent="0.25">
      <c r="A98" s="21" t="s">
        <v>122</v>
      </c>
      <c r="B98" s="21" t="s">
        <v>127</v>
      </c>
      <c r="C98" s="55">
        <v>2940573</v>
      </c>
      <c r="D98" s="19">
        <v>2803573</v>
      </c>
      <c r="E98" s="19">
        <v>5591973</v>
      </c>
      <c r="F98" s="19">
        <v>5310803</v>
      </c>
      <c r="G98" s="19">
        <v>5196633</v>
      </c>
      <c r="H98" s="19">
        <v>5054263</v>
      </c>
    </row>
    <row r="99" spans="1:8" s="17" customFormat="1" x14ac:dyDescent="0.25">
      <c r="A99" s="21" t="s">
        <v>131</v>
      </c>
      <c r="B99" s="21"/>
      <c r="C99" s="55">
        <v>3013129</v>
      </c>
      <c r="D99" s="19">
        <v>2876129</v>
      </c>
      <c r="E99" s="19">
        <v>5521973</v>
      </c>
      <c r="F99" s="19">
        <v>5240803</v>
      </c>
      <c r="G99" s="19">
        <v>5126633</v>
      </c>
      <c r="H99" s="19">
        <v>4984263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3553032</v>
      </c>
      <c r="D100" s="55">
        <f t="shared" ref="D100:H100" si="10">D97+D98</f>
        <v>3206032</v>
      </c>
      <c r="E100" s="55">
        <f t="shared" si="10"/>
        <v>5851973</v>
      </c>
      <c r="F100" s="55">
        <f t="shared" si="10"/>
        <v>5570803</v>
      </c>
      <c r="G100" s="55">
        <f t="shared" si="10"/>
        <v>5456633</v>
      </c>
      <c r="H100" s="55">
        <f t="shared" si="10"/>
        <v>5314263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-308775</v>
      </c>
      <c r="D102" s="9">
        <f>D82+D95</f>
        <v>-308775</v>
      </c>
      <c r="E102" s="9">
        <f t="shared" ref="E102:H102" si="11">E82+E95</f>
        <v>-160000</v>
      </c>
      <c r="F102" s="9">
        <f t="shared" si="11"/>
        <v>-160000</v>
      </c>
      <c r="G102" s="9">
        <f t="shared" si="11"/>
        <v>-160000</v>
      </c>
      <c r="H102" s="9">
        <f t="shared" si="11"/>
        <v>-160000</v>
      </c>
    </row>
    <row r="103" spans="1:8" x14ac:dyDescent="0.25">
      <c r="A103" s="10" t="s">
        <v>3</v>
      </c>
      <c r="B103" s="10"/>
      <c r="C103" s="11">
        <f t="shared" ref="C103:H103" si="12">C102/C16</f>
        <v>-0.12619538736497166</v>
      </c>
      <c r="D103" s="11">
        <f t="shared" si="12"/>
        <v>-0.12477854863686179</v>
      </c>
      <c r="E103" s="11">
        <f t="shared" si="12"/>
        <v>-6.0894386298763085E-2</v>
      </c>
      <c r="F103" s="11">
        <f t="shared" si="12"/>
        <v>-5.8234758871701549E-2</v>
      </c>
      <c r="G103" s="11">
        <f t="shared" si="12"/>
        <v>-5.2848885218827413E-2</v>
      </c>
      <c r="H103" s="11">
        <f t="shared" si="12"/>
        <v>-5.0327126321087066E-2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/>
    </row>
    <row r="123" spans="1:8" x14ac:dyDescent="0.25">
      <c r="A123" s="12" t="s">
        <v>210</v>
      </c>
      <c r="B123" s="12"/>
    </row>
    <row r="124" spans="1:8" x14ac:dyDescent="0.25">
      <c r="A124" s="32" t="s">
        <v>211</v>
      </c>
    </row>
    <row r="126" spans="1:8" x14ac:dyDescent="0.25">
      <c r="A126" s="14"/>
      <c r="B126" s="14"/>
    </row>
    <row r="127" spans="1:8" x14ac:dyDescent="0.25">
      <c r="B127" s="117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9:H119"/>
    <mergeCell ref="A120:H120"/>
    <mergeCell ref="A113:H113"/>
    <mergeCell ref="A114:H114"/>
    <mergeCell ref="A115:H115"/>
    <mergeCell ref="A116:H116"/>
    <mergeCell ref="A117:H117"/>
    <mergeCell ref="A118:H118"/>
    <mergeCell ref="A105:H105"/>
    <mergeCell ref="A108:H108"/>
    <mergeCell ref="A109:H109"/>
    <mergeCell ref="A110:H110"/>
    <mergeCell ref="A111:H111"/>
    <mergeCell ref="A112:H112"/>
  </mergeCells>
  <pageMargins left="0.22" right="0.16" top="0.32" bottom="0.19" header="0.31496062992125984" footer="0.17"/>
  <pageSetup paperSize="9" scale="4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120" t="s">
        <v>212</v>
      </c>
    </row>
    <row r="2" spans="1:8" x14ac:dyDescent="0.25">
      <c r="A2" s="30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105"/>
      <c r="D5" s="7"/>
      <c r="E5" s="7"/>
      <c r="F5" s="7"/>
      <c r="G5" s="7"/>
      <c r="H5" s="7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287257.43</v>
      </c>
      <c r="D8" s="7">
        <v>270000</v>
      </c>
      <c r="E8" s="7">
        <v>186600</v>
      </c>
      <c r="F8" s="7">
        <v>213300</v>
      </c>
      <c r="G8" s="7">
        <v>383400</v>
      </c>
      <c r="H8" s="7">
        <v>456600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540152.6</v>
      </c>
      <c r="D10" s="7">
        <v>410255</v>
      </c>
      <c r="E10" s="7">
        <v>387005</v>
      </c>
      <c r="F10" s="7">
        <v>387005</v>
      </c>
      <c r="G10" s="7">
        <v>387005</v>
      </c>
      <c r="H10" s="7">
        <v>387005</v>
      </c>
    </row>
    <row r="11" spans="1:8" x14ac:dyDescent="0.25">
      <c r="A11" s="13" t="s">
        <v>16</v>
      </c>
      <c r="B11" s="13" t="s">
        <v>30</v>
      </c>
      <c r="C11" s="51">
        <v>14398</v>
      </c>
      <c r="D11" s="7"/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/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841808.03</v>
      </c>
      <c r="D16" s="7">
        <f>SUM(D8:D15)</f>
        <v>680255</v>
      </c>
      <c r="E16" s="7">
        <f>SUM(E8:E15)</f>
        <v>573605</v>
      </c>
      <c r="F16" s="7">
        <f>SUM(F8:F15)</f>
        <v>600305</v>
      </c>
      <c r="G16" s="7">
        <f>SUM(G8:G15)</f>
        <v>770405</v>
      </c>
      <c r="H16" s="7">
        <f>SUM(H8:H15)</f>
        <v>843605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v>287257.43</v>
      </c>
      <c r="D19" s="19">
        <v>270000</v>
      </c>
      <c r="E19" s="19">
        <v>176000</v>
      </c>
      <c r="F19" s="19">
        <v>213300</v>
      </c>
      <c r="G19" s="19">
        <v>383400</v>
      </c>
      <c r="H19" s="19">
        <v>456600</v>
      </c>
    </row>
    <row r="20" spans="1:8" s="17" customFormat="1" x14ac:dyDescent="0.25">
      <c r="A20" s="18" t="s">
        <v>148</v>
      </c>
      <c r="B20" s="18" t="s">
        <v>117</v>
      </c>
      <c r="C20" s="19">
        <v>554550.6</v>
      </c>
      <c r="D20" s="19">
        <f>387255+23000</f>
        <v>410255</v>
      </c>
      <c r="E20" s="19">
        <v>387005</v>
      </c>
      <c r="F20" s="19">
        <v>387005</v>
      </c>
      <c r="G20" s="19">
        <v>387005</v>
      </c>
      <c r="H20" s="19">
        <v>387005</v>
      </c>
    </row>
    <row r="21" spans="1:8" s="17" customFormat="1" x14ac:dyDescent="0.25">
      <c r="A21" s="18" t="s">
        <v>114</v>
      </c>
      <c r="B21" s="18" t="s">
        <v>116</v>
      </c>
      <c r="C21" s="19">
        <f>SUM(C19:C20)</f>
        <v>841808.03</v>
      </c>
      <c r="D21" s="19">
        <f>SUM(D19:D20)</f>
        <v>680255</v>
      </c>
      <c r="E21" s="19">
        <f>SUM(E19:E20)</f>
        <v>563005</v>
      </c>
      <c r="F21" s="19">
        <f>SUM(F19:F20)</f>
        <v>600305</v>
      </c>
      <c r="G21" s="19">
        <f>SUM(G19:G20)</f>
        <v>770405</v>
      </c>
      <c r="H21" s="19">
        <f>SUM(H19:H20)</f>
        <v>843605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v>-753277.41</v>
      </c>
      <c r="D28" s="7">
        <f>-633905-23000</f>
        <v>-656905</v>
      </c>
      <c r="E28" s="16">
        <f>-656905+30000</f>
        <v>-626905</v>
      </c>
      <c r="F28" s="16">
        <f>-656905+25000</f>
        <v>-631905</v>
      </c>
      <c r="G28" s="16">
        <f>-656905-91519.2</f>
        <v>-748424.2</v>
      </c>
      <c r="H28" s="16">
        <f>-656905-91519.2-72252</f>
        <v>-820676.2</v>
      </c>
    </row>
    <row r="29" spans="1:8" x14ac:dyDescent="0.25">
      <c r="A29" s="2" t="s">
        <v>155</v>
      </c>
      <c r="B29" s="2" t="s">
        <v>156</v>
      </c>
      <c r="C29" s="51">
        <v>-461252.84</v>
      </c>
      <c r="D29" s="7">
        <v>-426606</v>
      </c>
      <c r="E29" s="7">
        <v>-409772.56</v>
      </c>
      <c r="F29" s="7">
        <f>-426606</f>
        <v>-426606</v>
      </c>
      <c r="G29" s="7">
        <f>-426606-91519.2</f>
        <v>-518125.2</v>
      </c>
      <c r="H29" s="7">
        <f>-426606-91519.2-72252</f>
        <v>-590377.19999999995</v>
      </c>
    </row>
    <row r="30" spans="1:8" x14ac:dyDescent="0.25">
      <c r="A30" s="13" t="s">
        <v>41</v>
      </c>
      <c r="B30" s="13" t="s">
        <v>42</v>
      </c>
      <c r="C30" s="51">
        <v>-4891.97</v>
      </c>
      <c r="D30" s="7">
        <v>-900</v>
      </c>
      <c r="E30" s="7">
        <v>-900</v>
      </c>
      <c r="F30" s="7">
        <v>-900</v>
      </c>
      <c r="G30" s="7">
        <v>-900</v>
      </c>
      <c r="H30" s="7">
        <v>-900</v>
      </c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/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/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-758169.38</v>
      </c>
      <c r="D34" s="7">
        <f>SUM(D24:D28)+SUM(D30:D33)</f>
        <v>-657805</v>
      </c>
      <c r="E34" s="7">
        <f>SUM(E24:E28)+SUM(E30:E33)</f>
        <v>-627805</v>
      </c>
      <c r="F34" s="7">
        <f>SUM(F24:F28)+SUM(F30:F33)</f>
        <v>-632805</v>
      </c>
      <c r="G34" s="7">
        <f>SUM(G24:G28)+SUM(G30:G33)</f>
        <v>-749324.2</v>
      </c>
      <c r="H34" s="7">
        <f>SUM(H24:H28)+SUM(H30:H33)</f>
        <v>-821576.2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v>-1250</v>
      </c>
      <c r="D37" s="19"/>
      <c r="E37" s="19"/>
      <c r="F37" s="19"/>
      <c r="G37" s="19"/>
      <c r="H37" s="19"/>
    </row>
    <row r="38" spans="1:8" s="17" customFormat="1" x14ac:dyDescent="0.25">
      <c r="A38" s="21" t="s">
        <v>133</v>
      </c>
      <c r="B38" s="21" t="s">
        <v>134</v>
      </c>
      <c r="C38" s="19">
        <v>-753277.41</v>
      </c>
      <c r="D38" s="19">
        <v>-656905</v>
      </c>
      <c r="E38" s="19">
        <v>-656905</v>
      </c>
      <c r="F38" s="19">
        <v>-656905</v>
      </c>
      <c r="G38" s="19">
        <v>-748424</v>
      </c>
      <c r="H38" s="19">
        <v>-820676</v>
      </c>
    </row>
    <row r="39" spans="1:8" s="17" customFormat="1" x14ac:dyDescent="0.25">
      <c r="A39" s="21" t="s">
        <v>136</v>
      </c>
      <c r="B39" s="21" t="s">
        <v>135</v>
      </c>
      <c r="C39" s="19">
        <v>-78438.320000000007</v>
      </c>
      <c r="D39" s="19">
        <v>-900</v>
      </c>
      <c r="E39" s="19">
        <v>-409773</v>
      </c>
      <c r="F39" s="19">
        <v>-900</v>
      </c>
      <c r="G39" s="19">
        <v>-900</v>
      </c>
      <c r="H39" s="19">
        <v>-900</v>
      </c>
    </row>
    <row r="40" spans="1:8" s="17" customFormat="1" x14ac:dyDescent="0.25">
      <c r="A40" s="21" t="s">
        <v>138</v>
      </c>
      <c r="B40" s="21" t="s">
        <v>120</v>
      </c>
      <c r="C40" s="55">
        <v>-73961.73</v>
      </c>
      <c r="D40" s="19">
        <v>-72253.600000000006</v>
      </c>
      <c r="E40" s="19">
        <v>-72254</v>
      </c>
      <c r="F40" s="19">
        <v>-72254</v>
      </c>
      <c r="G40" s="19">
        <v>-72254</v>
      </c>
      <c r="H40" s="19">
        <v>-72254</v>
      </c>
    </row>
    <row r="41" spans="1:8" s="17" customFormat="1" x14ac:dyDescent="0.25">
      <c r="A41" s="21" t="s">
        <v>113</v>
      </c>
      <c r="B41" s="21" t="s">
        <v>137</v>
      </c>
      <c r="C41" s="19">
        <f>SUM(C37:C39)</f>
        <v>-832965.73</v>
      </c>
      <c r="D41" s="19">
        <f>SUM(D37:D39)</f>
        <v>-657805</v>
      </c>
      <c r="E41" s="19">
        <f>SUM(E37:E39)</f>
        <v>-1066678</v>
      </c>
      <c r="F41" s="19">
        <f>SUM(F37:F39)</f>
        <v>-657805</v>
      </c>
      <c r="G41" s="19">
        <f>SUM(G37:G39)</f>
        <v>-749324</v>
      </c>
      <c r="H41" s="19">
        <f>SUM(H37:H39)</f>
        <v>-821576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83638.650000000023</v>
      </c>
      <c r="D43" s="9">
        <f>D16+D34</f>
        <v>22450</v>
      </c>
      <c r="E43" s="9">
        <f>E16+E34</f>
        <v>-54200</v>
      </c>
      <c r="F43" s="9">
        <f>F16+F34</f>
        <v>-32500</v>
      </c>
      <c r="G43" s="9">
        <f>G16+G34</f>
        <v>21080.800000000047</v>
      </c>
      <c r="H43" s="9">
        <f>H16+H34</f>
        <v>22028.800000000047</v>
      </c>
    </row>
    <row r="44" spans="1:8" x14ac:dyDescent="0.25">
      <c r="A44" s="10" t="s">
        <v>3</v>
      </c>
      <c r="B44" s="10"/>
      <c r="C44" s="63">
        <f>C43/C16</f>
        <v>9.9355965991438713E-2</v>
      </c>
      <c r="D44" s="63">
        <f>D43/D16</f>
        <v>3.3002330008599715E-2</v>
      </c>
      <c r="E44" s="63">
        <f>E43/E16</f>
        <v>-9.4490110790526577E-2</v>
      </c>
      <c r="F44" s="63">
        <f>F43/F16</f>
        <v>-5.4139145934150139E-2</v>
      </c>
      <c r="G44" s="63">
        <f>G43/G16</f>
        <v>2.7363269968393309E-2</v>
      </c>
      <c r="H44" s="63">
        <f>H43/H16</f>
        <v>2.6112694922386718E-2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23">
        <f>C21+C41</f>
        <v>8842.3000000000466</v>
      </c>
      <c r="D46" s="23">
        <f>D21+D41</f>
        <v>22450</v>
      </c>
      <c r="E46" s="23">
        <f>E21+E41</f>
        <v>-503673</v>
      </c>
      <c r="F46" s="23">
        <f>F21+F41</f>
        <v>-57500</v>
      </c>
      <c r="G46" s="23">
        <f>G21+G41</f>
        <v>21081</v>
      </c>
      <c r="H46" s="23">
        <f>H21+H41</f>
        <v>22029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>
        <v>-144999.26</v>
      </c>
      <c r="D49" s="7">
        <v>-936000</v>
      </c>
      <c r="E49" s="16">
        <v>-1560000</v>
      </c>
      <c r="F49" s="16">
        <v>-624000</v>
      </c>
      <c r="G49" s="7"/>
      <c r="H49" s="7"/>
    </row>
    <row r="50" spans="1:8" x14ac:dyDescent="0.25">
      <c r="A50" s="2" t="s">
        <v>142</v>
      </c>
      <c r="B50" s="5"/>
      <c r="C50" s="51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>
        <v>71350</v>
      </c>
      <c r="D51" s="7">
        <v>1123200</v>
      </c>
      <c r="E51" s="16">
        <v>1872000</v>
      </c>
      <c r="F51" s="16">
        <v>748800</v>
      </c>
      <c r="G51" s="7"/>
      <c r="H51" s="7"/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/>
      <c r="D60" s="7"/>
      <c r="E60" s="7"/>
      <c r="F60" s="7"/>
      <c r="G60" s="7"/>
      <c r="H60" s="7"/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-73649.260000000009</v>
      </c>
      <c r="D62" s="16">
        <f>SUM(D49:D61)</f>
        <v>187200</v>
      </c>
      <c r="E62" s="16">
        <f>SUM(E49:E61)</f>
        <v>312000</v>
      </c>
      <c r="F62" s="16">
        <f>SUM(F49:F61)</f>
        <v>124800</v>
      </c>
      <c r="G62" s="16">
        <f>SUM(G49:G61)</f>
        <v>0</v>
      </c>
      <c r="H62" s="16">
        <f>SUM(H49:H61)</f>
        <v>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9989.390000000014</v>
      </c>
      <c r="D64" s="9">
        <f>D43+D62</f>
        <v>209650</v>
      </c>
      <c r="E64" s="9">
        <f>E43+E62</f>
        <v>257800</v>
      </c>
      <c r="F64" s="9">
        <f>F43+F62</f>
        <v>92300</v>
      </c>
      <c r="G64" s="9">
        <f>G43+G62</f>
        <v>21080.800000000047</v>
      </c>
      <c r="H64" s="9">
        <f>H43+H62</f>
        <v>22028.800000000047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119">
        <v>3089.34</v>
      </c>
      <c r="D67" s="54">
        <v>3191.26</v>
      </c>
      <c r="E67" s="54">
        <v>3296.54</v>
      </c>
      <c r="F67" s="54">
        <v>3406.28</v>
      </c>
      <c r="G67" s="54">
        <v>3517</v>
      </c>
      <c r="H67" s="54"/>
    </row>
    <row r="68" spans="1:8" s="17" customFormat="1" x14ac:dyDescent="0.25">
      <c r="A68" s="24" t="s">
        <v>60</v>
      </c>
      <c r="B68" s="15" t="s">
        <v>129</v>
      </c>
      <c r="C68" s="119">
        <v>13410.66</v>
      </c>
      <c r="D68" s="54">
        <f>C68-D67</f>
        <v>10219.4</v>
      </c>
      <c r="E68" s="54">
        <f>D68-E67</f>
        <v>6922.86</v>
      </c>
      <c r="F68" s="54">
        <f>E68-F67</f>
        <v>3516.5799999999995</v>
      </c>
      <c r="G68" s="54"/>
      <c r="H68" s="54"/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118">
        <v>66545.119999999995</v>
      </c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83045.119999999995</v>
      </c>
      <c r="D82" s="7">
        <f>SUM(D67:D81)</f>
        <v>13410.66</v>
      </c>
      <c r="E82" s="7">
        <f>SUM(E67:E81)</f>
        <v>10219.4</v>
      </c>
      <c r="F82" s="7">
        <f>SUM(F67:F81)</f>
        <v>6922.86</v>
      </c>
      <c r="G82" s="7">
        <f>SUM(G67:G81)</f>
        <v>3517</v>
      </c>
      <c r="H82" s="7">
        <f>SUM(H67:H81)</f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v>97230.3</v>
      </c>
      <c r="D84" s="19">
        <v>27270.240000000002</v>
      </c>
      <c r="E84" s="19">
        <v>30000</v>
      </c>
      <c r="F84" s="19">
        <v>38000</v>
      </c>
      <c r="G84" s="19">
        <v>37000</v>
      </c>
      <c r="H84" s="19">
        <v>37000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-34703.129999999997</v>
      </c>
      <c r="D87" s="16">
        <v>-69196.94</v>
      </c>
      <c r="E87" s="16">
        <v>-35000</v>
      </c>
      <c r="F87" s="16">
        <v>-35000</v>
      </c>
      <c r="G87" s="16">
        <v>-35000</v>
      </c>
      <c r="H87" s="16">
        <v>-35000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-34703.129999999997</v>
      </c>
      <c r="D95" s="7">
        <f>SUM(D87:D94)</f>
        <v>-69196.94</v>
      </c>
      <c r="E95" s="7">
        <f>SUM(E87:E94)</f>
        <v>-35000</v>
      </c>
      <c r="F95" s="7">
        <f>SUM(F87:F94)</f>
        <v>-35000</v>
      </c>
      <c r="G95" s="7">
        <f>SUM(G87:G94)</f>
        <v>-35000</v>
      </c>
      <c r="H95" s="7">
        <f>SUM(H87:H94)</f>
        <v>-35000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59619.55</v>
      </c>
      <c r="D97" s="19">
        <v>70471.94</v>
      </c>
      <c r="E97" s="19"/>
      <c r="F97" s="19"/>
      <c r="G97" s="19"/>
      <c r="H97" s="19"/>
    </row>
    <row r="98" spans="1:8" s="17" customFormat="1" x14ac:dyDescent="0.25">
      <c r="A98" s="21" t="s">
        <v>122</v>
      </c>
      <c r="B98" s="21" t="s">
        <v>127</v>
      </c>
      <c r="C98" s="55">
        <v>1206433.33</v>
      </c>
      <c r="D98" s="19">
        <f>C98-D49-72254</f>
        <v>2070179.33</v>
      </c>
      <c r="E98" s="19">
        <f>D98-E49-72254</f>
        <v>3557925.33</v>
      </c>
      <c r="F98" s="19">
        <f>E98-F49-72254</f>
        <v>4109671.33</v>
      </c>
      <c r="G98" s="19">
        <f>F98-G49-72254</f>
        <v>4037417.33</v>
      </c>
      <c r="H98" s="19">
        <f>G98-H49-72254</f>
        <v>3965163.33</v>
      </c>
    </row>
    <row r="99" spans="1:8" s="17" customFormat="1" x14ac:dyDescent="0.25">
      <c r="A99" s="21" t="s">
        <v>131</v>
      </c>
      <c r="B99" s="21"/>
      <c r="C99" s="55">
        <f>C100-C84-C68</f>
        <v>1155411.9200000002</v>
      </c>
      <c r="D99" s="55">
        <f>D100-D84-D68</f>
        <v>2103161.63</v>
      </c>
      <c r="E99" s="55">
        <f>E100-E84-E68</f>
        <v>3521002.47</v>
      </c>
      <c r="F99" s="55">
        <f>F100-F84-F68</f>
        <v>4068154.75</v>
      </c>
      <c r="G99" s="55">
        <f>G100-G84-G68</f>
        <v>4000417.33</v>
      </c>
      <c r="H99" s="55">
        <f>H100-H84-H68</f>
        <v>3928163.33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1266052.8800000001</v>
      </c>
      <c r="D100" s="55">
        <f>D97+D98</f>
        <v>2140651.27</v>
      </c>
      <c r="E100" s="55">
        <f>E97+E98</f>
        <v>3557925.33</v>
      </c>
      <c r="F100" s="55">
        <f>F97+F98</f>
        <v>4109671.33</v>
      </c>
      <c r="G100" s="55">
        <f>G97+G98</f>
        <v>4037417.33</v>
      </c>
      <c r="H100" s="55">
        <f>H97+H98</f>
        <v>3965163.33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48341.99</v>
      </c>
      <c r="D102" s="9">
        <f>D82+D95</f>
        <v>-55786.28</v>
      </c>
      <c r="E102" s="9">
        <f>E82+E95</f>
        <v>-24780.6</v>
      </c>
      <c r="F102" s="9">
        <f>F82+F95</f>
        <v>-28077.14</v>
      </c>
      <c r="G102" s="9">
        <f>G82+G95</f>
        <v>-31483</v>
      </c>
      <c r="H102" s="9">
        <f>H82+H95</f>
        <v>-35000</v>
      </c>
    </row>
    <row r="103" spans="1:8" x14ac:dyDescent="0.25">
      <c r="A103" s="10" t="s">
        <v>3</v>
      </c>
      <c r="B103" s="10"/>
      <c r="C103" s="11">
        <f>C102/C16</f>
        <v>5.7426382592240179E-2</v>
      </c>
      <c r="D103" s="11">
        <f>D102/D16</f>
        <v>-8.200789409853658E-2</v>
      </c>
      <c r="E103" s="11">
        <f>E102/E16</f>
        <v>-4.3201506263020717E-2</v>
      </c>
      <c r="F103" s="11">
        <f>F102/F16</f>
        <v>-4.6771457842263518E-2</v>
      </c>
      <c r="G103" s="11">
        <f>G102/G16</f>
        <v>-4.0865518785573825E-2</v>
      </c>
      <c r="H103" s="11">
        <f>H102/H16</f>
        <v>-4.1488611376177237E-2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/>
    </row>
    <row r="123" spans="1:8" x14ac:dyDescent="0.25">
      <c r="A123" s="12"/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ColWidth="8.5703125" defaultRowHeight="15" x14ac:dyDescent="0.25"/>
  <cols>
    <col min="1" max="1" width="44.140625" style="121" customWidth="1"/>
    <col min="2" max="2" width="31.5703125" style="121" customWidth="1"/>
    <col min="3" max="8" width="17.28515625" style="121" customWidth="1"/>
    <col min="9" max="16384" width="8.5703125" style="121"/>
  </cols>
  <sheetData>
    <row r="1" spans="1:8" ht="30" x14ac:dyDescent="0.25">
      <c r="A1" s="146" t="s">
        <v>159</v>
      </c>
      <c r="B1" s="124" t="s">
        <v>229</v>
      </c>
    </row>
    <row r="2" spans="1:8" x14ac:dyDescent="0.25">
      <c r="A2" s="145"/>
    </row>
    <row r="3" spans="1:8" x14ac:dyDescent="0.25">
      <c r="A3" s="145" t="s">
        <v>140</v>
      </c>
      <c r="B3" s="145"/>
      <c r="C3" s="145"/>
    </row>
    <row r="4" spans="1:8" x14ac:dyDescent="0.25">
      <c r="A4" s="144" t="s">
        <v>157</v>
      </c>
      <c r="B4" s="144" t="s">
        <v>12</v>
      </c>
      <c r="C4" s="143">
        <v>2015</v>
      </c>
      <c r="D4" s="144">
        <v>2016</v>
      </c>
      <c r="E4" s="144">
        <v>2017</v>
      </c>
      <c r="F4" s="144">
        <v>2018</v>
      </c>
      <c r="G4" s="144">
        <v>2019</v>
      </c>
      <c r="H4" s="144">
        <v>2020</v>
      </c>
    </row>
    <row r="5" spans="1:8" x14ac:dyDescent="0.25">
      <c r="A5" s="143"/>
      <c r="B5" s="143"/>
      <c r="C5" s="143"/>
      <c r="D5" s="137"/>
      <c r="E5" s="137"/>
      <c r="F5" s="137"/>
      <c r="G5" s="137"/>
      <c r="H5" s="137"/>
    </row>
    <row r="6" spans="1:8" x14ac:dyDescent="0.25">
      <c r="A6" s="135" t="s">
        <v>49</v>
      </c>
      <c r="B6" s="135"/>
      <c r="C6" s="135"/>
      <c r="D6" s="137"/>
      <c r="E6" s="137"/>
      <c r="F6" s="137"/>
      <c r="G6" s="137"/>
      <c r="H6" s="137"/>
    </row>
    <row r="7" spans="1:8" x14ac:dyDescent="0.25">
      <c r="A7" s="138" t="s">
        <v>13</v>
      </c>
      <c r="B7" s="138" t="s">
        <v>25</v>
      </c>
      <c r="C7" s="153"/>
      <c r="D7" s="134"/>
      <c r="E7" s="134"/>
      <c r="F7" s="134"/>
      <c r="G7" s="134"/>
      <c r="H7" s="134"/>
    </row>
    <row r="8" spans="1:8" x14ac:dyDescent="0.25">
      <c r="A8" s="138" t="s">
        <v>26</v>
      </c>
      <c r="B8" s="138" t="s">
        <v>27</v>
      </c>
      <c r="C8" s="153">
        <v>31112</v>
      </c>
      <c r="D8" s="134">
        <v>23000</v>
      </c>
      <c r="E8" s="134">
        <v>24000</v>
      </c>
      <c r="F8" s="134">
        <v>24000</v>
      </c>
      <c r="G8" s="134">
        <v>24000</v>
      </c>
      <c r="H8" s="134">
        <v>25000</v>
      </c>
    </row>
    <row r="9" spans="1:8" x14ac:dyDescent="0.25">
      <c r="A9" s="138" t="s">
        <v>28</v>
      </c>
      <c r="B9" s="138" t="s">
        <v>14</v>
      </c>
      <c r="C9" s="153"/>
      <c r="D9" s="134"/>
      <c r="E9" s="134"/>
      <c r="F9" s="134"/>
      <c r="G9" s="134"/>
      <c r="H9" s="134"/>
    </row>
    <row r="10" spans="1:8" x14ac:dyDescent="0.25">
      <c r="A10" s="138" t="s">
        <v>15</v>
      </c>
      <c r="B10" s="138" t="s">
        <v>29</v>
      </c>
      <c r="C10" s="153">
        <v>162958</v>
      </c>
      <c r="D10" s="134">
        <v>161278</v>
      </c>
      <c r="E10" s="134">
        <v>161300</v>
      </c>
      <c r="F10" s="134">
        <v>161300</v>
      </c>
      <c r="G10" s="134">
        <v>161300</v>
      </c>
      <c r="H10" s="134">
        <v>161300</v>
      </c>
    </row>
    <row r="11" spans="1:8" x14ac:dyDescent="0.25">
      <c r="A11" s="138" t="s">
        <v>16</v>
      </c>
      <c r="B11" s="138" t="s">
        <v>30</v>
      </c>
      <c r="C11" s="153"/>
      <c r="D11" s="134"/>
      <c r="E11" s="134"/>
      <c r="F11" s="134"/>
      <c r="G11" s="134"/>
      <c r="H11" s="134"/>
    </row>
    <row r="12" spans="1:8" x14ac:dyDescent="0.25">
      <c r="A12" s="138" t="s">
        <v>31</v>
      </c>
      <c r="B12" s="138" t="s">
        <v>32</v>
      </c>
      <c r="C12" s="153"/>
      <c r="D12" s="134"/>
      <c r="E12" s="134"/>
      <c r="F12" s="134"/>
      <c r="G12" s="134"/>
      <c r="H12" s="134"/>
    </row>
    <row r="13" spans="1:8" x14ac:dyDescent="0.25">
      <c r="A13" s="138" t="s">
        <v>17</v>
      </c>
      <c r="B13" s="138" t="s">
        <v>33</v>
      </c>
      <c r="C13" s="154"/>
      <c r="D13" s="134"/>
      <c r="E13" s="134"/>
      <c r="F13" s="134"/>
      <c r="G13" s="134"/>
      <c r="H13" s="134"/>
    </row>
    <row r="14" spans="1:8" x14ac:dyDescent="0.25">
      <c r="A14" s="138" t="s">
        <v>18</v>
      </c>
      <c r="B14" s="138" t="s">
        <v>34</v>
      </c>
      <c r="C14" s="154"/>
      <c r="D14" s="134"/>
      <c r="E14" s="134"/>
      <c r="F14" s="134"/>
      <c r="G14" s="134"/>
      <c r="H14" s="134"/>
    </row>
    <row r="15" spans="1:8" x14ac:dyDescent="0.25">
      <c r="A15" s="138" t="s">
        <v>35</v>
      </c>
      <c r="B15" s="138" t="s">
        <v>36</v>
      </c>
      <c r="C15" s="153">
        <v>200</v>
      </c>
      <c r="D15" s="134"/>
      <c r="E15" s="134"/>
      <c r="F15" s="134"/>
      <c r="G15" s="134"/>
      <c r="H15" s="134"/>
    </row>
    <row r="16" spans="1:8" x14ac:dyDescent="0.25">
      <c r="A16" s="135" t="s">
        <v>0</v>
      </c>
      <c r="B16" s="135"/>
      <c r="C16" s="134">
        <f>SUM(C7:C15)</f>
        <v>194270</v>
      </c>
      <c r="D16" s="134">
        <f>SUM(D7:D15)</f>
        <v>184278</v>
      </c>
      <c r="E16" s="134">
        <f>SUM(E7:E15)</f>
        <v>185300</v>
      </c>
      <c r="F16" s="134">
        <f>SUM(F7:F15)</f>
        <v>185300</v>
      </c>
      <c r="G16" s="134">
        <f>SUM(G7:G15)</f>
        <v>185300</v>
      </c>
      <c r="H16" s="134">
        <f>SUM(H7:H15)</f>
        <v>186300</v>
      </c>
    </row>
    <row r="17" spans="1:8" x14ac:dyDescent="0.25">
      <c r="A17" s="138"/>
      <c r="B17" s="138"/>
      <c r="C17" s="134"/>
      <c r="D17" s="134"/>
      <c r="E17" s="134"/>
      <c r="F17" s="134"/>
      <c r="G17" s="134"/>
      <c r="H17" s="134"/>
    </row>
    <row r="18" spans="1:8" s="126" customFormat="1" x14ac:dyDescent="0.25">
      <c r="A18" s="147" t="s">
        <v>132</v>
      </c>
      <c r="B18" s="147"/>
      <c r="C18" s="148"/>
      <c r="D18" s="148"/>
      <c r="E18" s="148"/>
      <c r="F18" s="148"/>
      <c r="G18" s="148"/>
      <c r="H18" s="148"/>
    </row>
    <row r="19" spans="1:8" s="126" customFormat="1" x14ac:dyDescent="0.25">
      <c r="A19" s="147" t="s">
        <v>147</v>
      </c>
      <c r="B19" s="147" t="s">
        <v>115</v>
      </c>
      <c r="C19" s="148">
        <v>31312</v>
      </c>
      <c r="D19" s="148">
        <v>23000</v>
      </c>
      <c r="E19" s="148">
        <v>24000</v>
      </c>
      <c r="F19" s="148">
        <v>24000</v>
      </c>
      <c r="G19" s="148">
        <v>24000</v>
      </c>
      <c r="H19" s="148">
        <v>25000</v>
      </c>
    </row>
    <row r="20" spans="1:8" s="126" customFormat="1" x14ac:dyDescent="0.25">
      <c r="A20" s="147" t="s">
        <v>148</v>
      </c>
      <c r="B20" s="147" t="s">
        <v>117</v>
      </c>
      <c r="C20" s="148">
        <v>162958</v>
      </c>
      <c r="D20" s="148">
        <v>161278</v>
      </c>
      <c r="E20" s="148">
        <v>161300</v>
      </c>
      <c r="F20" s="148">
        <v>161300</v>
      </c>
      <c r="G20" s="148">
        <v>161300</v>
      </c>
      <c r="H20" s="148">
        <v>161300</v>
      </c>
    </row>
    <row r="21" spans="1:8" s="126" customFormat="1" x14ac:dyDescent="0.25">
      <c r="A21" s="147" t="s">
        <v>114</v>
      </c>
      <c r="B21" s="147" t="s">
        <v>116</v>
      </c>
      <c r="C21" s="148">
        <v>194270</v>
      </c>
      <c r="D21" s="148">
        <v>184278</v>
      </c>
      <c r="E21" s="148">
        <v>185300</v>
      </c>
      <c r="F21" s="148">
        <v>185300</v>
      </c>
      <c r="G21" s="148">
        <v>185300</v>
      </c>
      <c r="H21" s="148">
        <v>186300</v>
      </c>
    </row>
    <row r="22" spans="1:8" x14ac:dyDescent="0.25">
      <c r="A22" s="138"/>
      <c r="B22" s="138"/>
      <c r="C22" s="135"/>
      <c r="D22" s="134"/>
      <c r="E22" s="134"/>
      <c r="F22" s="134"/>
      <c r="G22" s="134"/>
      <c r="H22" s="134"/>
    </row>
    <row r="23" spans="1:8" x14ac:dyDescent="0.25">
      <c r="A23" s="137" t="s">
        <v>149</v>
      </c>
      <c r="B23" s="138"/>
      <c r="C23" s="135"/>
      <c r="D23" s="134"/>
      <c r="E23" s="134"/>
      <c r="F23" s="134"/>
      <c r="G23" s="134"/>
      <c r="H23" s="134"/>
    </row>
    <row r="24" spans="1:8" x14ac:dyDescent="0.25">
      <c r="A24" s="138" t="s">
        <v>19</v>
      </c>
      <c r="B24" s="138" t="s">
        <v>37</v>
      </c>
      <c r="C24" s="153"/>
      <c r="D24" s="134"/>
      <c r="E24" s="134"/>
      <c r="F24" s="134"/>
      <c r="G24" s="134"/>
      <c r="H24" s="134"/>
    </row>
    <row r="25" spans="1:8" x14ac:dyDescent="0.25">
      <c r="A25" s="138" t="s">
        <v>23</v>
      </c>
      <c r="B25" s="138" t="s">
        <v>24</v>
      </c>
      <c r="C25" s="153"/>
      <c r="D25" s="134"/>
      <c r="E25" s="134"/>
      <c r="F25" s="134"/>
      <c r="G25" s="134"/>
      <c r="H25" s="134"/>
    </row>
    <row r="26" spans="1:8" x14ac:dyDescent="0.25">
      <c r="A26" s="138" t="s">
        <v>20</v>
      </c>
      <c r="B26" s="138" t="s">
        <v>38</v>
      </c>
      <c r="C26" s="153"/>
      <c r="D26" s="134"/>
      <c r="E26" s="134"/>
      <c r="F26" s="134"/>
      <c r="G26" s="134"/>
      <c r="H26" s="134"/>
    </row>
    <row r="27" spans="1:8" x14ac:dyDescent="0.25">
      <c r="A27" s="138" t="s">
        <v>21</v>
      </c>
      <c r="B27" s="138" t="s">
        <v>39</v>
      </c>
      <c r="C27" s="153"/>
      <c r="D27" s="134"/>
      <c r="E27" s="134"/>
      <c r="F27" s="134"/>
      <c r="G27" s="134"/>
      <c r="H27" s="134"/>
    </row>
    <row r="28" spans="1:8" x14ac:dyDescent="0.25">
      <c r="A28" s="138" t="s">
        <v>22</v>
      </c>
      <c r="B28" s="138" t="s">
        <v>40</v>
      </c>
      <c r="C28" s="153">
        <v>-222956</v>
      </c>
      <c r="D28" s="134">
        <v>-184278</v>
      </c>
      <c r="E28" s="134">
        <v>-185300</v>
      </c>
      <c r="F28" s="134">
        <v>-185300</v>
      </c>
      <c r="G28" s="134">
        <v>-185300</v>
      </c>
      <c r="H28" s="134">
        <v>-186300</v>
      </c>
    </row>
    <row r="29" spans="1:8" x14ac:dyDescent="0.25">
      <c r="A29" s="137" t="s">
        <v>155</v>
      </c>
      <c r="B29" s="137" t="s">
        <v>156</v>
      </c>
      <c r="C29" s="153">
        <v>-165285</v>
      </c>
      <c r="D29" s="134">
        <v>-165285</v>
      </c>
      <c r="E29" s="134">
        <v>-165285</v>
      </c>
      <c r="F29" s="134">
        <v>-165285</v>
      </c>
      <c r="G29" s="134">
        <v>-165285</v>
      </c>
      <c r="H29" s="134">
        <v>-165285</v>
      </c>
    </row>
    <row r="30" spans="1:8" x14ac:dyDescent="0.25">
      <c r="A30" s="138" t="s">
        <v>41</v>
      </c>
      <c r="B30" s="138" t="s">
        <v>42</v>
      </c>
      <c r="C30" s="153"/>
      <c r="D30" s="134"/>
      <c r="E30" s="134"/>
      <c r="F30" s="134"/>
      <c r="G30" s="134"/>
      <c r="H30" s="134"/>
    </row>
    <row r="31" spans="1:8" x14ac:dyDescent="0.25">
      <c r="A31" s="138" t="s">
        <v>43</v>
      </c>
      <c r="B31" s="138" t="s">
        <v>44</v>
      </c>
      <c r="C31" s="154"/>
      <c r="D31" s="134"/>
      <c r="E31" s="134"/>
      <c r="F31" s="134"/>
      <c r="G31" s="134"/>
      <c r="H31" s="134"/>
    </row>
    <row r="32" spans="1:8" x14ac:dyDescent="0.25">
      <c r="A32" s="138" t="s">
        <v>45</v>
      </c>
      <c r="B32" s="138" t="s">
        <v>46</v>
      </c>
      <c r="C32" s="154"/>
      <c r="D32" s="154"/>
      <c r="E32" s="154"/>
      <c r="F32" s="154"/>
      <c r="G32" s="154"/>
      <c r="H32" s="154"/>
    </row>
    <row r="33" spans="1:8" x14ac:dyDescent="0.25">
      <c r="A33" s="138" t="s">
        <v>47</v>
      </c>
      <c r="B33" s="138" t="s">
        <v>48</v>
      </c>
      <c r="C33" s="154"/>
      <c r="D33" s="154"/>
      <c r="E33" s="154"/>
      <c r="F33" s="154"/>
      <c r="G33" s="154"/>
      <c r="H33" s="154"/>
    </row>
    <row r="34" spans="1:8" x14ac:dyDescent="0.25">
      <c r="A34" s="135" t="s">
        <v>1</v>
      </c>
      <c r="B34" s="135"/>
      <c r="C34" s="134">
        <f>SUM(C24:C28)+SUM(C30:C33)</f>
        <v>-222956</v>
      </c>
      <c r="D34" s="134">
        <f>SUM(D24:D28)+SUM(D30:D33)</f>
        <v>-184278</v>
      </c>
      <c r="E34" s="134">
        <f>SUM(E24:E28)+SUM(E30:E33)</f>
        <v>-185300</v>
      </c>
      <c r="F34" s="134">
        <f>SUM(F24:F28)+SUM(F30:F33)</f>
        <v>-185300</v>
      </c>
      <c r="G34" s="134">
        <f>SUM(G24:G28)+SUM(G30:G33)</f>
        <v>-185300</v>
      </c>
      <c r="H34" s="134">
        <f>SUM(H24:H28)+SUM(H30:H33)</f>
        <v>-186300</v>
      </c>
    </row>
    <row r="35" spans="1:8" x14ac:dyDescent="0.25">
      <c r="A35" s="135"/>
      <c r="B35" s="135"/>
      <c r="C35" s="134"/>
      <c r="D35" s="134"/>
      <c r="E35" s="134"/>
      <c r="F35" s="134"/>
      <c r="G35" s="134"/>
      <c r="H35" s="134"/>
    </row>
    <row r="36" spans="1:8" s="126" customFormat="1" x14ac:dyDescent="0.25">
      <c r="A36" s="149" t="s">
        <v>150</v>
      </c>
      <c r="B36" s="149"/>
      <c r="C36" s="148"/>
      <c r="D36" s="148"/>
      <c r="E36" s="148"/>
      <c r="F36" s="148"/>
      <c r="G36" s="148"/>
      <c r="H36" s="148"/>
    </row>
    <row r="37" spans="1:8" s="126" customFormat="1" x14ac:dyDescent="0.25">
      <c r="A37" s="149" t="s">
        <v>119</v>
      </c>
      <c r="B37" s="149" t="s">
        <v>118</v>
      </c>
      <c r="C37" s="148"/>
      <c r="D37" s="148"/>
      <c r="E37" s="148"/>
      <c r="F37" s="148"/>
      <c r="G37" s="148"/>
      <c r="H37" s="148"/>
    </row>
    <row r="38" spans="1:8" s="126" customFormat="1" x14ac:dyDescent="0.25">
      <c r="A38" s="149" t="s">
        <v>133</v>
      </c>
      <c r="B38" s="149" t="s">
        <v>134</v>
      </c>
      <c r="C38" s="148">
        <v>-193821</v>
      </c>
      <c r="D38" s="148">
        <v>-184278</v>
      </c>
      <c r="E38" s="148">
        <v>-185300</v>
      </c>
      <c r="F38" s="148">
        <v>-185300</v>
      </c>
      <c r="G38" s="148">
        <v>-185300</v>
      </c>
      <c r="H38" s="148">
        <v>-186300</v>
      </c>
    </row>
    <row r="39" spans="1:8" s="126" customFormat="1" x14ac:dyDescent="0.25">
      <c r="A39" s="149" t="s">
        <v>136</v>
      </c>
      <c r="B39" s="149" t="s">
        <v>135</v>
      </c>
      <c r="C39" s="148">
        <v>-29135</v>
      </c>
      <c r="D39" s="148"/>
      <c r="E39" s="148"/>
      <c r="F39" s="148"/>
      <c r="G39" s="148"/>
      <c r="H39" s="148"/>
    </row>
    <row r="40" spans="1:8" s="126" customFormat="1" x14ac:dyDescent="0.25">
      <c r="A40" s="149" t="s">
        <v>138</v>
      </c>
      <c r="B40" s="149" t="s">
        <v>120</v>
      </c>
      <c r="C40" s="149">
        <v>-15835</v>
      </c>
      <c r="D40" s="148">
        <v>-14982</v>
      </c>
      <c r="E40" s="148">
        <v>-15580</v>
      </c>
      <c r="F40" s="148">
        <v>-15580</v>
      </c>
      <c r="G40" s="148">
        <v>-15580</v>
      </c>
      <c r="H40" s="148">
        <v>-15580</v>
      </c>
    </row>
    <row r="41" spans="1:8" s="126" customFormat="1" x14ac:dyDescent="0.25">
      <c r="A41" s="149" t="s">
        <v>113</v>
      </c>
      <c r="B41" s="149" t="s">
        <v>137</v>
      </c>
      <c r="C41" s="148">
        <f>SUM(C37:C39)</f>
        <v>-222956</v>
      </c>
      <c r="D41" s="148">
        <f>SUM(D37:D39)</f>
        <v>-184278</v>
      </c>
      <c r="E41" s="148">
        <f>SUM(E37:E39)</f>
        <v>-185300</v>
      </c>
      <c r="F41" s="148">
        <f>SUM(F37:F39)</f>
        <v>-185300</v>
      </c>
      <c r="G41" s="148">
        <f>SUM(G37:G39)</f>
        <v>-185300</v>
      </c>
      <c r="H41" s="148">
        <f>SUM(H37:H39)</f>
        <v>-186300</v>
      </c>
    </row>
    <row r="42" spans="1:8" x14ac:dyDescent="0.25">
      <c r="A42" s="135"/>
      <c r="B42" s="135"/>
      <c r="C42" s="135"/>
      <c r="D42" s="134"/>
      <c r="E42" s="134"/>
      <c r="F42" s="134"/>
      <c r="G42" s="134"/>
      <c r="H42" s="134"/>
    </row>
    <row r="43" spans="1:8" x14ac:dyDescent="0.25">
      <c r="A43" s="133" t="s">
        <v>2</v>
      </c>
      <c r="B43" s="133"/>
      <c r="C43" s="132">
        <f>C16+C34</f>
        <v>-28686</v>
      </c>
      <c r="D43" s="132">
        <f>D16+D34</f>
        <v>0</v>
      </c>
      <c r="E43" s="132">
        <f>E16+E34</f>
        <v>0</v>
      </c>
      <c r="F43" s="132">
        <f>F16+F34</f>
        <v>0</v>
      </c>
      <c r="G43" s="132">
        <f>G16+G34</f>
        <v>0</v>
      </c>
      <c r="H43" s="132">
        <f>H16+H34</f>
        <v>0</v>
      </c>
    </row>
    <row r="44" spans="1:8" x14ac:dyDescent="0.25">
      <c r="A44" s="131" t="s">
        <v>3</v>
      </c>
      <c r="B44" s="131"/>
      <c r="C44" s="130">
        <f>C43/C16</f>
        <v>-0.14766047253822001</v>
      </c>
      <c r="D44" s="130">
        <f>D43/D16</f>
        <v>0</v>
      </c>
      <c r="E44" s="130">
        <f>E43/E16</f>
        <v>0</v>
      </c>
      <c r="F44" s="130">
        <f>F43/F16</f>
        <v>0</v>
      </c>
      <c r="G44" s="130">
        <f>G43/G16</f>
        <v>0</v>
      </c>
      <c r="H44" s="130">
        <f>H43/H16</f>
        <v>0</v>
      </c>
    </row>
    <row r="45" spans="1:8" x14ac:dyDescent="0.25">
      <c r="A45" s="131"/>
      <c r="B45" s="131"/>
      <c r="C45" s="130"/>
      <c r="D45" s="130"/>
      <c r="E45" s="130"/>
      <c r="F45" s="130"/>
      <c r="G45" s="130"/>
      <c r="H45" s="130"/>
    </row>
    <row r="46" spans="1:8" s="126" customFormat="1" x14ac:dyDescent="0.25">
      <c r="A46" s="150" t="s">
        <v>130</v>
      </c>
      <c r="B46" s="150" t="s">
        <v>141</v>
      </c>
      <c r="C46" s="151">
        <f>C21+C41</f>
        <v>-28686</v>
      </c>
      <c r="D46" s="151">
        <f>D21+D41</f>
        <v>0</v>
      </c>
      <c r="E46" s="151">
        <f>E21+E41</f>
        <v>0</v>
      </c>
      <c r="F46" s="151">
        <f>F21+F41</f>
        <v>0</v>
      </c>
      <c r="G46" s="151">
        <f>G21+G41</f>
        <v>0</v>
      </c>
      <c r="H46" s="151">
        <f>H21+H41</f>
        <v>0</v>
      </c>
    </row>
    <row r="47" spans="1:8" x14ac:dyDescent="0.25">
      <c r="A47" s="131"/>
      <c r="B47" s="131"/>
      <c r="C47" s="130"/>
      <c r="D47" s="130"/>
      <c r="E47" s="130"/>
      <c r="F47" s="130"/>
      <c r="G47" s="130"/>
      <c r="H47" s="130"/>
    </row>
    <row r="48" spans="1:8" x14ac:dyDescent="0.25">
      <c r="A48" s="135" t="s">
        <v>151</v>
      </c>
      <c r="B48" s="135"/>
      <c r="C48" s="135"/>
      <c r="D48" s="134"/>
      <c r="E48" s="134"/>
      <c r="F48" s="134"/>
      <c r="G48" s="134"/>
      <c r="H48" s="134"/>
    </row>
    <row r="49" spans="1:8" x14ac:dyDescent="0.25">
      <c r="A49" s="137" t="s">
        <v>197</v>
      </c>
      <c r="B49" s="135"/>
      <c r="C49" s="136"/>
      <c r="D49" s="134">
        <v>-60000</v>
      </c>
      <c r="E49" s="134"/>
      <c r="F49" s="134"/>
      <c r="G49" s="134"/>
      <c r="H49" s="134"/>
    </row>
    <row r="50" spans="1:8" x14ac:dyDescent="0.25">
      <c r="A50" s="137" t="s">
        <v>142</v>
      </c>
      <c r="B50" s="135"/>
      <c r="C50" s="136"/>
      <c r="D50" s="134"/>
      <c r="E50" s="134"/>
      <c r="F50" s="134"/>
      <c r="G50" s="134"/>
      <c r="H50" s="134"/>
    </row>
    <row r="51" spans="1:8" x14ac:dyDescent="0.25">
      <c r="A51" s="137" t="s">
        <v>4</v>
      </c>
      <c r="B51" s="135"/>
      <c r="C51" s="136"/>
      <c r="D51" s="134">
        <v>60000</v>
      </c>
      <c r="E51" s="134"/>
      <c r="F51" s="134"/>
      <c r="G51" s="134"/>
      <c r="H51" s="134"/>
    </row>
    <row r="52" spans="1:8" x14ac:dyDescent="0.25">
      <c r="A52" s="137" t="s">
        <v>5</v>
      </c>
      <c r="B52" s="135"/>
      <c r="C52" s="136"/>
      <c r="D52" s="134"/>
      <c r="E52" s="134"/>
      <c r="F52" s="134"/>
      <c r="G52" s="134"/>
      <c r="H52" s="134"/>
    </row>
    <row r="53" spans="1:8" x14ac:dyDescent="0.25">
      <c r="A53" s="137" t="s">
        <v>143</v>
      </c>
      <c r="B53" s="135"/>
      <c r="C53" s="136"/>
      <c r="D53" s="134"/>
      <c r="E53" s="134"/>
      <c r="F53" s="134"/>
      <c r="G53" s="134"/>
      <c r="H53" s="134"/>
    </row>
    <row r="54" spans="1:8" x14ac:dyDescent="0.25">
      <c r="A54" s="137" t="s">
        <v>108</v>
      </c>
      <c r="B54" s="135"/>
      <c r="C54" s="136"/>
      <c r="D54" s="134"/>
      <c r="E54" s="134"/>
      <c r="F54" s="134"/>
      <c r="G54" s="134"/>
      <c r="H54" s="134"/>
    </row>
    <row r="55" spans="1:8" x14ac:dyDescent="0.25">
      <c r="A55" s="137" t="s">
        <v>144</v>
      </c>
      <c r="B55" s="135"/>
      <c r="C55" s="136"/>
      <c r="D55" s="134"/>
      <c r="E55" s="134"/>
      <c r="F55" s="134"/>
      <c r="G55" s="134"/>
      <c r="H55" s="134"/>
    </row>
    <row r="56" spans="1:8" x14ac:dyDescent="0.25">
      <c r="A56" s="137" t="s">
        <v>109</v>
      </c>
      <c r="B56" s="135"/>
      <c r="C56" s="136"/>
      <c r="D56" s="134"/>
      <c r="E56" s="134"/>
      <c r="F56" s="134"/>
      <c r="G56" s="134"/>
      <c r="H56" s="134"/>
    </row>
    <row r="57" spans="1:8" x14ac:dyDescent="0.25">
      <c r="A57" s="137" t="s">
        <v>145</v>
      </c>
      <c r="B57" s="135"/>
      <c r="C57" s="136"/>
      <c r="D57" s="134"/>
      <c r="E57" s="134"/>
      <c r="F57" s="134"/>
      <c r="G57" s="134"/>
      <c r="H57" s="134"/>
    </row>
    <row r="58" spans="1:8" x14ac:dyDescent="0.25">
      <c r="A58" s="137" t="s">
        <v>110</v>
      </c>
      <c r="B58" s="135"/>
      <c r="C58" s="136"/>
      <c r="D58" s="134"/>
      <c r="E58" s="134"/>
      <c r="F58" s="134"/>
      <c r="G58" s="134"/>
      <c r="H58" s="134"/>
    </row>
    <row r="59" spans="1:8" x14ac:dyDescent="0.25">
      <c r="A59" s="137" t="s">
        <v>146</v>
      </c>
      <c r="B59" s="135"/>
      <c r="C59" s="136"/>
      <c r="D59" s="134"/>
      <c r="E59" s="134"/>
      <c r="F59" s="134"/>
      <c r="G59" s="134"/>
      <c r="H59" s="134"/>
    </row>
    <row r="60" spans="1:8" x14ac:dyDescent="0.25">
      <c r="A60" s="137" t="s">
        <v>111</v>
      </c>
      <c r="B60" s="135"/>
      <c r="C60" s="136">
        <v>191</v>
      </c>
      <c r="D60" s="134"/>
      <c r="E60" s="134"/>
      <c r="F60" s="134"/>
      <c r="G60" s="134"/>
      <c r="H60" s="134"/>
    </row>
    <row r="61" spans="1:8" x14ac:dyDescent="0.25">
      <c r="A61" s="137" t="s">
        <v>112</v>
      </c>
      <c r="B61" s="135"/>
      <c r="C61" s="135"/>
      <c r="D61" s="134"/>
      <c r="E61" s="134"/>
      <c r="F61" s="134"/>
      <c r="G61" s="134"/>
      <c r="H61" s="134"/>
    </row>
    <row r="62" spans="1:8" s="126" customFormat="1" x14ac:dyDescent="0.25">
      <c r="A62" s="140" t="s">
        <v>6</v>
      </c>
      <c r="B62" s="140"/>
      <c r="C62" s="139">
        <f>SUM(C49:C61)</f>
        <v>191</v>
      </c>
      <c r="D62" s="139">
        <f>SUM(D49:D61)</f>
        <v>0</v>
      </c>
      <c r="E62" s="139">
        <f>SUM(E49:E61)</f>
        <v>0</v>
      </c>
      <c r="F62" s="139">
        <f>SUM(F49:F61)</f>
        <v>0</v>
      </c>
      <c r="G62" s="139">
        <f>SUM(G49:G61)</f>
        <v>0</v>
      </c>
      <c r="H62" s="139">
        <f>SUM(H49:H61)</f>
        <v>0</v>
      </c>
    </row>
    <row r="63" spans="1:8" s="126" customFormat="1" x14ac:dyDescent="0.25">
      <c r="A63" s="140"/>
      <c r="B63" s="140"/>
      <c r="C63" s="140"/>
      <c r="D63" s="139"/>
      <c r="E63" s="139"/>
      <c r="F63" s="139"/>
      <c r="G63" s="139"/>
      <c r="H63" s="139"/>
    </row>
    <row r="64" spans="1:8" s="126" customFormat="1" x14ac:dyDescent="0.25">
      <c r="A64" s="133" t="s">
        <v>7</v>
      </c>
      <c r="B64" s="133"/>
      <c r="C64" s="132">
        <f>C43+C62</f>
        <v>-28495</v>
      </c>
      <c r="D64" s="132">
        <f>D43+D62</f>
        <v>0</v>
      </c>
      <c r="E64" s="132">
        <f>E43+E62</f>
        <v>0</v>
      </c>
      <c r="F64" s="132">
        <f>F43+F62</f>
        <v>0</v>
      </c>
      <c r="G64" s="132">
        <f>G43+G62</f>
        <v>0</v>
      </c>
      <c r="H64" s="132">
        <f>H43+H62</f>
        <v>0</v>
      </c>
    </row>
    <row r="65" spans="1:8" s="126" customFormat="1" x14ac:dyDescent="0.25">
      <c r="A65" s="140"/>
      <c r="B65" s="140"/>
      <c r="C65" s="140"/>
      <c r="D65" s="139"/>
      <c r="E65" s="139"/>
      <c r="F65" s="139"/>
      <c r="G65" s="139"/>
      <c r="H65" s="139"/>
    </row>
    <row r="66" spans="1:8" s="126" customFormat="1" x14ac:dyDescent="0.25">
      <c r="A66" s="140" t="s">
        <v>93</v>
      </c>
      <c r="B66" s="140"/>
      <c r="C66" s="140"/>
      <c r="D66" s="139"/>
      <c r="E66" s="139"/>
      <c r="F66" s="139"/>
      <c r="G66" s="139"/>
      <c r="H66" s="139"/>
    </row>
    <row r="67" spans="1:8" s="126" customFormat="1" x14ac:dyDescent="0.25">
      <c r="A67" s="141" t="s">
        <v>59</v>
      </c>
      <c r="B67" s="141" t="s">
        <v>50</v>
      </c>
      <c r="C67" s="142"/>
      <c r="D67" s="142"/>
      <c r="E67" s="142"/>
      <c r="F67" s="142"/>
      <c r="G67" s="142"/>
      <c r="H67" s="142"/>
    </row>
    <row r="68" spans="1:8" s="126" customFormat="1" x14ac:dyDescent="0.25">
      <c r="A68" s="141" t="s">
        <v>60</v>
      </c>
      <c r="B68" s="141" t="s">
        <v>129</v>
      </c>
      <c r="C68" s="142"/>
      <c r="D68" s="142"/>
      <c r="E68" s="142"/>
      <c r="F68" s="142"/>
      <c r="G68" s="142"/>
      <c r="H68" s="142"/>
    </row>
    <row r="69" spans="1:8" ht="60" x14ac:dyDescent="0.25">
      <c r="A69" s="138" t="s">
        <v>61</v>
      </c>
      <c r="B69" s="135" t="s">
        <v>51</v>
      </c>
      <c r="C69" s="136"/>
      <c r="D69" s="134"/>
      <c r="E69" s="134"/>
      <c r="F69" s="134"/>
      <c r="G69" s="134"/>
      <c r="H69" s="134"/>
    </row>
    <row r="70" spans="1:8" x14ac:dyDescent="0.25">
      <c r="A70" s="138" t="s">
        <v>52</v>
      </c>
      <c r="B70" s="138" t="s">
        <v>62</v>
      </c>
      <c r="C70" s="136"/>
      <c r="D70" s="134"/>
      <c r="E70" s="134"/>
      <c r="F70" s="134"/>
      <c r="G70" s="134"/>
      <c r="H70" s="134"/>
    </row>
    <row r="71" spans="1:8" x14ac:dyDescent="0.25">
      <c r="A71" s="138" t="s">
        <v>63</v>
      </c>
      <c r="B71" s="138" t="s">
        <v>64</v>
      </c>
      <c r="C71" s="136"/>
      <c r="D71" s="134"/>
      <c r="E71" s="134"/>
      <c r="F71" s="134"/>
      <c r="G71" s="134"/>
      <c r="H71" s="134"/>
    </row>
    <row r="72" spans="1:8" x14ac:dyDescent="0.25">
      <c r="A72" s="138" t="s">
        <v>65</v>
      </c>
      <c r="B72" s="138" t="s">
        <v>66</v>
      </c>
      <c r="C72" s="154">
        <v>1262</v>
      </c>
      <c r="D72" s="134">
        <v>1000</v>
      </c>
      <c r="E72" s="134">
        <v>1000</v>
      </c>
      <c r="F72" s="134">
        <v>1000</v>
      </c>
      <c r="G72" s="134">
        <v>1000</v>
      </c>
      <c r="H72" s="134">
        <v>1000</v>
      </c>
    </row>
    <row r="73" spans="1:8" x14ac:dyDescent="0.25">
      <c r="A73" s="138" t="s">
        <v>67</v>
      </c>
      <c r="B73" s="138" t="s">
        <v>68</v>
      </c>
      <c r="C73" s="136"/>
      <c r="D73" s="134"/>
      <c r="E73" s="134"/>
      <c r="F73" s="134"/>
      <c r="G73" s="134"/>
      <c r="H73" s="134"/>
    </row>
    <row r="74" spans="1:8" x14ac:dyDescent="0.25">
      <c r="A74" s="138" t="s">
        <v>53</v>
      </c>
      <c r="B74" s="138" t="s">
        <v>69</v>
      </c>
      <c r="C74" s="136"/>
      <c r="D74" s="134"/>
      <c r="E74" s="134"/>
      <c r="F74" s="134"/>
      <c r="G74" s="134"/>
      <c r="H74" s="134"/>
    </row>
    <row r="75" spans="1:8" x14ac:dyDescent="0.25">
      <c r="A75" s="138" t="s">
        <v>70</v>
      </c>
      <c r="B75" s="138" t="s">
        <v>71</v>
      </c>
      <c r="C75" s="136"/>
      <c r="D75" s="134"/>
      <c r="E75" s="134"/>
      <c r="F75" s="134"/>
      <c r="G75" s="134"/>
      <c r="H75" s="134"/>
    </row>
    <row r="76" spans="1:8" x14ac:dyDescent="0.25">
      <c r="A76" s="138" t="s">
        <v>54</v>
      </c>
      <c r="B76" s="138" t="s">
        <v>58</v>
      </c>
      <c r="C76" s="136"/>
      <c r="D76" s="134"/>
      <c r="E76" s="134"/>
      <c r="F76" s="134"/>
      <c r="G76" s="134"/>
      <c r="H76" s="134"/>
    </row>
    <row r="77" spans="1:8" x14ac:dyDescent="0.25">
      <c r="A77" s="138" t="s">
        <v>55</v>
      </c>
      <c r="B77" s="138" t="s">
        <v>72</v>
      </c>
      <c r="C77" s="136"/>
      <c r="D77" s="134"/>
      <c r="E77" s="134"/>
      <c r="F77" s="134"/>
      <c r="G77" s="134"/>
      <c r="H77" s="134"/>
    </row>
    <row r="78" spans="1:8" ht="45" x14ac:dyDescent="0.25">
      <c r="A78" s="138" t="s">
        <v>73</v>
      </c>
      <c r="B78" s="135" t="s">
        <v>74</v>
      </c>
      <c r="C78" s="136"/>
      <c r="D78" s="134"/>
      <c r="E78" s="134"/>
      <c r="F78" s="134"/>
      <c r="G78" s="134"/>
      <c r="H78" s="134"/>
    </row>
    <row r="79" spans="1:8" x14ac:dyDescent="0.25">
      <c r="A79" s="138" t="s">
        <v>56</v>
      </c>
      <c r="B79" s="138" t="s">
        <v>75</v>
      </c>
      <c r="C79" s="136"/>
      <c r="D79" s="134"/>
      <c r="E79" s="134"/>
      <c r="F79" s="134"/>
      <c r="G79" s="134"/>
      <c r="H79" s="134"/>
    </row>
    <row r="80" spans="1:8" x14ac:dyDescent="0.25">
      <c r="A80" s="138" t="s">
        <v>76</v>
      </c>
      <c r="B80" s="138" t="s">
        <v>77</v>
      </c>
      <c r="C80" s="154">
        <v>60000</v>
      </c>
      <c r="D80" s="134"/>
      <c r="E80" s="134"/>
      <c r="F80" s="134"/>
      <c r="G80" s="134"/>
      <c r="H80" s="134"/>
    </row>
    <row r="81" spans="1:8" ht="15" customHeight="1" x14ac:dyDescent="0.25">
      <c r="A81" s="138" t="s">
        <v>57</v>
      </c>
      <c r="B81" s="138" t="s">
        <v>78</v>
      </c>
      <c r="C81" s="136"/>
      <c r="D81" s="134"/>
      <c r="E81" s="134"/>
      <c r="F81" s="134"/>
      <c r="G81" s="134"/>
      <c r="H81" s="134"/>
    </row>
    <row r="82" spans="1:8" x14ac:dyDescent="0.25">
      <c r="A82" s="135" t="s">
        <v>8</v>
      </c>
      <c r="B82" s="135"/>
      <c r="C82" s="134">
        <f>SUM(C67:C81)</f>
        <v>61262</v>
      </c>
      <c r="D82" s="134">
        <f>SUM(D67:D81)</f>
        <v>1000</v>
      </c>
      <c r="E82" s="134">
        <f>SUM(E67:E81)</f>
        <v>1000</v>
      </c>
      <c r="F82" s="134">
        <f>SUM(F67:F81)</f>
        <v>1000</v>
      </c>
      <c r="G82" s="134">
        <f>SUM(G67:G81)</f>
        <v>1000</v>
      </c>
      <c r="H82" s="134">
        <f>SUM(H67:H81)</f>
        <v>1000</v>
      </c>
    </row>
    <row r="83" spans="1:8" x14ac:dyDescent="0.25">
      <c r="A83" s="135"/>
      <c r="B83" s="135"/>
      <c r="C83" s="135"/>
      <c r="D83" s="134"/>
      <c r="E83" s="134"/>
      <c r="F83" s="134"/>
      <c r="G83" s="134"/>
      <c r="H83" s="134"/>
    </row>
    <row r="84" spans="1:8" s="126" customFormat="1" x14ac:dyDescent="0.25">
      <c r="A84" s="149" t="s">
        <v>125</v>
      </c>
      <c r="B84" s="147" t="s">
        <v>124</v>
      </c>
      <c r="C84" s="149">
        <v>19124</v>
      </c>
      <c r="D84" s="148">
        <v>13982</v>
      </c>
      <c r="E84" s="148">
        <v>14000</v>
      </c>
      <c r="F84" s="148">
        <v>9000</v>
      </c>
      <c r="G84" s="148">
        <v>7000</v>
      </c>
      <c r="H84" s="148">
        <v>7000</v>
      </c>
    </row>
    <row r="85" spans="1:8" x14ac:dyDescent="0.25">
      <c r="A85" s="135"/>
      <c r="B85" s="135"/>
      <c r="C85" s="135"/>
      <c r="D85" s="134"/>
      <c r="E85" s="134"/>
      <c r="F85" s="134"/>
      <c r="G85" s="134"/>
      <c r="H85" s="134"/>
    </row>
    <row r="86" spans="1:8" x14ac:dyDescent="0.25">
      <c r="A86" s="135" t="s">
        <v>152</v>
      </c>
      <c r="B86" s="135"/>
      <c r="C86" s="135"/>
      <c r="D86" s="134"/>
      <c r="E86" s="134"/>
      <c r="F86" s="134"/>
      <c r="G86" s="134"/>
      <c r="H86" s="134"/>
    </row>
    <row r="87" spans="1:8" s="126" customFormat="1" x14ac:dyDescent="0.25">
      <c r="A87" s="141" t="s">
        <v>9</v>
      </c>
      <c r="B87" s="141" t="s">
        <v>190</v>
      </c>
      <c r="C87" s="140">
        <v>-82295</v>
      </c>
      <c r="D87" s="139">
        <v>-20000</v>
      </c>
      <c r="E87" s="139">
        <v>-10000</v>
      </c>
      <c r="F87" s="139">
        <v>-10000</v>
      </c>
      <c r="G87" s="139">
        <v>-10000</v>
      </c>
      <c r="H87" s="139">
        <v>-8000</v>
      </c>
    </row>
    <row r="88" spans="1:8" x14ac:dyDescent="0.25">
      <c r="A88" s="138" t="s">
        <v>88</v>
      </c>
      <c r="B88" s="137" t="s">
        <v>189</v>
      </c>
      <c r="C88" s="135"/>
      <c r="D88" s="134"/>
      <c r="E88" s="134"/>
      <c r="F88" s="134"/>
      <c r="G88" s="134"/>
      <c r="H88" s="134"/>
    </row>
    <row r="89" spans="1:8" x14ac:dyDescent="0.25">
      <c r="A89" s="138" t="s">
        <v>88</v>
      </c>
      <c r="B89" s="137" t="s">
        <v>188</v>
      </c>
      <c r="C89" s="135"/>
      <c r="D89" s="134"/>
      <c r="E89" s="134"/>
      <c r="F89" s="134"/>
      <c r="G89" s="134"/>
      <c r="H89" s="134"/>
    </row>
    <row r="90" spans="1:8" x14ac:dyDescent="0.25">
      <c r="A90" s="138" t="s">
        <v>89</v>
      </c>
      <c r="B90" s="137" t="s">
        <v>187</v>
      </c>
      <c r="C90" s="135"/>
      <c r="D90" s="134"/>
      <c r="E90" s="134"/>
      <c r="F90" s="134"/>
      <c r="G90" s="134"/>
      <c r="H90" s="134"/>
    </row>
    <row r="91" spans="1:8" x14ac:dyDescent="0.25">
      <c r="A91" s="138" t="s">
        <v>90</v>
      </c>
      <c r="B91" s="137" t="s">
        <v>186</v>
      </c>
      <c r="C91" s="135"/>
      <c r="D91" s="134"/>
      <c r="E91" s="134"/>
      <c r="F91" s="134"/>
      <c r="G91" s="134"/>
      <c r="H91" s="134"/>
    </row>
    <row r="92" spans="1:8" x14ac:dyDescent="0.25">
      <c r="A92" s="138" t="s">
        <v>79</v>
      </c>
      <c r="B92" s="137" t="s">
        <v>185</v>
      </c>
      <c r="C92" s="135"/>
      <c r="D92" s="134"/>
      <c r="E92" s="134"/>
      <c r="F92" s="134"/>
      <c r="G92" s="134"/>
      <c r="H92" s="134"/>
    </row>
    <row r="93" spans="1:8" x14ac:dyDescent="0.25">
      <c r="A93" s="138" t="s">
        <v>91</v>
      </c>
      <c r="B93" s="137" t="s">
        <v>184</v>
      </c>
      <c r="C93" s="135"/>
      <c r="D93" s="134"/>
      <c r="E93" s="134"/>
      <c r="F93" s="134"/>
      <c r="G93" s="134"/>
      <c r="H93" s="134"/>
    </row>
    <row r="94" spans="1:8" x14ac:dyDescent="0.25">
      <c r="A94" s="138" t="s">
        <v>92</v>
      </c>
      <c r="B94" s="137" t="s">
        <v>183</v>
      </c>
      <c r="C94" s="136"/>
      <c r="D94" s="134"/>
      <c r="E94" s="134"/>
      <c r="F94" s="134"/>
      <c r="G94" s="134"/>
      <c r="H94" s="134"/>
    </row>
    <row r="95" spans="1:8" x14ac:dyDescent="0.25">
      <c r="A95" s="135" t="s">
        <v>10</v>
      </c>
      <c r="B95" s="135"/>
      <c r="C95" s="134">
        <f>SUM(C87:C94)</f>
        <v>-82295</v>
      </c>
      <c r="D95" s="134">
        <f>SUM(D87:D94)</f>
        <v>-20000</v>
      </c>
      <c r="E95" s="134">
        <f>SUM(E87:E94)</f>
        <v>-10000</v>
      </c>
      <c r="F95" s="134">
        <f>SUM(F87:F94)</f>
        <v>-10000</v>
      </c>
      <c r="G95" s="134">
        <f>SUM(G87:G94)</f>
        <v>-10000</v>
      </c>
      <c r="H95" s="134">
        <f>SUM(H87:H94)</f>
        <v>-8000</v>
      </c>
    </row>
    <row r="96" spans="1:8" x14ac:dyDescent="0.25">
      <c r="A96" s="135"/>
      <c r="B96" s="135"/>
      <c r="C96" s="135"/>
      <c r="D96" s="134"/>
      <c r="E96" s="134"/>
      <c r="F96" s="134"/>
      <c r="G96" s="134"/>
      <c r="H96" s="134"/>
    </row>
    <row r="97" spans="1:8" s="126" customFormat="1" x14ac:dyDescent="0.25">
      <c r="A97" s="149" t="s">
        <v>121</v>
      </c>
      <c r="B97" s="149" t="s">
        <v>126</v>
      </c>
      <c r="C97" s="155">
        <v>83011</v>
      </c>
      <c r="D97" s="148">
        <v>20000</v>
      </c>
      <c r="E97" s="148">
        <v>35598</v>
      </c>
      <c r="F97" s="148">
        <v>46178</v>
      </c>
      <c r="G97" s="148">
        <v>59758</v>
      </c>
      <c r="H97" s="148">
        <v>75338</v>
      </c>
    </row>
    <row r="98" spans="1:8" s="126" customFormat="1" x14ac:dyDescent="0.25">
      <c r="A98" s="149" t="s">
        <v>122</v>
      </c>
      <c r="B98" s="149" t="s">
        <v>127</v>
      </c>
      <c r="C98" s="155">
        <v>188494</v>
      </c>
      <c r="D98" s="148">
        <v>199452</v>
      </c>
      <c r="E98" s="148">
        <v>183872</v>
      </c>
      <c r="F98" s="148">
        <v>168292</v>
      </c>
      <c r="G98" s="148">
        <v>152712</v>
      </c>
      <c r="H98" s="148">
        <v>137132</v>
      </c>
    </row>
    <row r="99" spans="1:8" s="126" customFormat="1" x14ac:dyDescent="0.25">
      <c r="A99" s="149" t="s">
        <v>131</v>
      </c>
      <c r="B99" s="149"/>
      <c r="C99" s="155">
        <v>191119</v>
      </c>
      <c r="D99" s="148">
        <v>204470</v>
      </c>
      <c r="E99" s="148">
        <v>204470</v>
      </c>
      <c r="F99" s="148">
        <v>204470</v>
      </c>
      <c r="G99" s="148">
        <v>204470</v>
      </c>
      <c r="H99" s="148">
        <v>204470</v>
      </c>
    </row>
    <row r="100" spans="1:8" s="126" customFormat="1" x14ac:dyDescent="0.25">
      <c r="A100" s="149" t="s">
        <v>123</v>
      </c>
      <c r="B100" s="149" t="s">
        <v>128</v>
      </c>
      <c r="C100" s="155">
        <f>C97+C98</f>
        <v>271505</v>
      </c>
      <c r="D100" s="155">
        <f>D97+D98</f>
        <v>219452</v>
      </c>
      <c r="E100" s="155">
        <f>E97+E98</f>
        <v>219470</v>
      </c>
      <c r="F100" s="155">
        <f>F97+F98</f>
        <v>214470</v>
      </c>
      <c r="G100" s="155">
        <f>G97+G98</f>
        <v>212470</v>
      </c>
      <c r="H100" s="155">
        <f>H97+H98</f>
        <v>212470</v>
      </c>
    </row>
    <row r="101" spans="1:8" x14ac:dyDescent="0.25">
      <c r="A101" s="135"/>
      <c r="B101" s="135"/>
      <c r="C101" s="135"/>
      <c r="D101" s="134"/>
      <c r="E101" s="134"/>
      <c r="F101" s="134"/>
      <c r="G101" s="134"/>
      <c r="H101" s="134"/>
    </row>
    <row r="102" spans="1:8" x14ac:dyDescent="0.25">
      <c r="A102" s="133" t="s">
        <v>11</v>
      </c>
      <c r="B102" s="133"/>
      <c r="C102" s="132">
        <f>C82+C95</f>
        <v>-21033</v>
      </c>
      <c r="D102" s="132">
        <f>D82+D95</f>
        <v>-19000</v>
      </c>
      <c r="E102" s="132">
        <f>E82+E95</f>
        <v>-9000</v>
      </c>
      <c r="F102" s="132">
        <f>F82+F95</f>
        <v>-9000</v>
      </c>
      <c r="G102" s="132">
        <f>G82+G95</f>
        <v>-9000</v>
      </c>
      <c r="H102" s="132">
        <f>H82+H95</f>
        <v>-7000</v>
      </c>
    </row>
    <row r="103" spans="1:8" x14ac:dyDescent="0.25">
      <c r="A103" s="131" t="s">
        <v>3</v>
      </c>
      <c r="B103" s="131"/>
      <c r="C103" s="130">
        <f>C102/C16</f>
        <v>-0.10826684511247234</v>
      </c>
      <c r="D103" s="130">
        <f>D102/D16</f>
        <v>-0.10310509122087282</v>
      </c>
      <c r="E103" s="130">
        <f>E102/E16</f>
        <v>-4.8569886670264434E-2</v>
      </c>
      <c r="F103" s="130">
        <f>F102/F16</f>
        <v>-4.8569886670264434E-2</v>
      </c>
      <c r="G103" s="130">
        <f>G102/G16</f>
        <v>-4.8569886670264434E-2</v>
      </c>
      <c r="H103" s="130">
        <f>H102/H16</f>
        <v>-3.7573805689747719E-2</v>
      </c>
    </row>
    <row r="104" spans="1:8" x14ac:dyDescent="0.25">
      <c r="A104" s="129"/>
      <c r="B104" s="129"/>
      <c r="C104" s="128"/>
      <c r="D104" s="128"/>
      <c r="E104" s="128"/>
      <c r="F104" s="128"/>
      <c r="G104" s="128"/>
      <c r="H104" s="128"/>
    </row>
    <row r="105" spans="1:8" ht="15" customHeight="1" x14ac:dyDescent="0.25">
      <c r="A105" s="152" t="s">
        <v>139</v>
      </c>
      <c r="B105" s="152"/>
      <c r="C105" s="152"/>
      <c r="D105" s="152"/>
      <c r="E105" s="152"/>
      <c r="F105" s="152"/>
      <c r="G105" s="152"/>
      <c r="H105" s="152"/>
    </row>
    <row r="106" spans="1:8" s="126" customFormat="1" x14ac:dyDescent="0.25">
      <c r="A106" s="126" t="s">
        <v>154</v>
      </c>
      <c r="B106" s="127"/>
      <c r="C106" s="127"/>
      <c r="D106" s="127"/>
      <c r="E106" s="127"/>
      <c r="F106" s="127"/>
      <c r="G106" s="127"/>
      <c r="H106" s="127"/>
    </row>
    <row r="107" spans="1:8" x14ac:dyDescent="0.25">
      <c r="A107" s="121" t="s">
        <v>153</v>
      </c>
    </row>
    <row r="108" spans="1:8" ht="30" customHeight="1" x14ac:dyDescent="0.25">
      <c r="A108" s="125" t="s">
        <v>228</v>
      </c>
      <c r="B108" s="125"/>
      <c r="C108" s="125"/>
      <c r="D108" s="125"/>
      <c r="E108" s="125"/>
      <c r="F108" s="125"/>
      <c r="G108" s="125"/>
      <c r="H108" s="125"/>
    </row>
    <row r="109" spans="1:8" ht="45.75" customHeight="1" x14ac:dyDescent="0.25">
      <c r="A109" s="125" t="s">
        <v>227</v>
      </c>
      <c r="B109" s="125"/>
      <c r="C109" s="125"/>
      <c r="D109" s="125"/>
      <c r="E109" s="125"/>
      <c r="F109" s="125"/>
      <c r="G109" s="125"/>
      <c r="H109" s="125"/>
    </row>
    <row r="110" spans="1:8" ht="30" customHeight="1" x14ac:dyDescent="0.25">
      <c r="A110" s="125" t="s">
        <v>226</v>
      </c>
      <c r="B110" s="125"/>
      <c r="C110" s="125"/>
      <c r="D110" s="125"/>
      <c r="E110" s="125"/>
      <c r="F110" s="125"/>
      <c r="G110" s="125"/>
      <c r="H110" s="125"/>
    </row>
    <row r="111" spans="1:8" ht="30" customHeight="1" x14ac:dyDescent="0.25">
      <c r="A111" s="125" t="s">
        <v>225</v>
      </c>
      <c r="B111" s="125"/>
      <c r="C111" s="125"/>
      <c r="D111" s="125"/>
      <c r="E111" s="125"/>
      <c r="F111" s="125"/>
      <c r="G111" s="125"/>
      <c r="H111" s="125"/>
    </row>
    <row r="112" spans="1:8" ht="15" customHeight="1" x14ac:dyDescent="0.25">
      <c r="A112" s="125" t="s">
        <v>224</v>
      </c>
      <c r="B112" s="125"/>
      <c r="C112" s="125"/>
      <c r="D112" s="125"/>
      <c r="E112" s="125"/>
      <c r="F112" s="125"/>
      <c r="G112" s="125"/>
      <c r="H112" s="125"/>
    </row>
    <row r="113" spans="1:8" ht="15" customHeight="1" x14ac:dyDescent="0.25">
      <c r="A113" s="125" t="s">
        <v>223</v>
      </c>
      <c r="B113" s="125"/>
      <c r="C113" s="125"/>
      <c r="D113" s="125"/>
      <c r="E113" s="125"/>
      <c r="F113" s="125"/>
      <c r="G113" s="125"/>
      <c r="H113" s="125"/>
    </row>
    <row r="114" spans="1:8" ht="15" customHeight="1" x14ac:dyDescent="0.25">
      <c r="A114" s="125" t="s">
        <v>222</v>
      </c>
      <c r="B114" s="125"/>
      <c r="C114" s="125"/>
      <c r="D114" s="125"/>
      <c r="E114" s="125"/>
      <c r="F114" s="125"/>
      <c r="G114" s="125"/>
      <c r="H114" s="125"/>
    </row>
    <row r="115" spans="1:8" ht="30" customHeight="1" x14ac:dyDescent="0.25">
      <c r="A115" s="125" t="s">
        <v>221</v>
      </c>
      <c r="B115" s="125"/>
      <c r="C115" s="125"/>
      <c r="D115" s="125"/>
      <c r="E115" s="125"/>
      <c r="F115" s="125"/>
      <c r="G115" s="125"/>
      <c r="H115" s="125"/>
    </row>
    <row r="116" spans="1:8" ht="30" customHeight="1" x14ac:dyDescent="0.25">
      <c r="A116" s="125" t="s">
        <v>220</v>
      </c>
      <c r="B116" s="125"/>
      <c r="C116" s="125"/>
      <c r="D116" s="125"/>
      <c r="E116" s="125"/>
      <c r="F116" s="125"/>
      <c r="G116" s="125"/>
      <c r="H116" s="125"/>
    </row>
    <row r="117" spans="1:8" ht="30" customHeight="1" x14ac:dyDescent="0.25">
      <c r="A117" s="125" t="s">
        <v>219</v>
      </c>
      <c r="B117" s="125"/>
      <c r="C117" s="125"/>
      <c r="D117" s="125"/>
      <c r="E117" s="125"/>
      <c r="F117" s="125"/>
      <c r="G117" s="125"/>
      <c r="H117" s="125"/>
    </row>
    <row r="118" spans="1:8" ht="30" customHeight="1" x14ac:dyDescent="0.25">
      <c r="A118" s="125" t="s">
        <v>218</v>
      </c>
      <c r="B118" s="125"/>
      <c r="C118" s="125"/>
      <c r="D118" s="125"/>
      <c r="E118" s="125"/>
      <c r="F118" s="125"/>
      <c r="G118" s="125"/>
      <c r="H118" s="125"/>
    </row>
    <row r="119" spans="1:8" ht="15" customHeight="1" x14ac:dyDescent="0.25">
      <c r="A119" s="125" t="s">
        <v>217</v>
      </c>
      <c r="B119" s="125"/>
      <c r="C119" s="125"/>
      <c r="D119" s="125"/>
      <c r="E119" s="125"/>
      <c r="F119" s="125"/>
      <c r="G119" s="125"/>
      <c r="H119" s="125"/>
    </row>
    <row r="120" spans="1:8" ht="15" customHeight="1" x14ac:dyDescent="0.25">
      <c r="A120" s="125" t="s">
        <v>216</v>
      </c>
      <c r="B120" s="125"/>
      <c r="C120" s="125"/>
      <c r="D120" s="125"/>
      <c r="E120" s="125"/>
      <c r="F120" s="125"/>
      <c r="G120" s="125"/>
      <c r="H120" s="125"/>
    </row>
    <row r="121" spans="1:8" x14ac:dyDescent="0.25">
      <c r="B121" s="122"/>
    </row>
    <row r="122" spans="1:8" x14ac:dyDescent="0.25">
      <c r="B122" s="122"/>
    </row>
    <row r="123" spans="1:8" x14ac:dyDescent="0.25">
      <c r="A123" s="124" t="s">
        <v>158</v>
      </c>
      <c r="B123" s="122" t="s">
        <v>215</v>
      </c>
    </row>
    <row r="124" spans="1:8" x14ac:dyDescent="0.25">
      <c r="B124" s="121" t="s">
        <v>214</v>
      </c>
    </row>
    <row r="125" spans="1:8" x14ac:dyDescent="0.25">
      <c r="B125" s="121" t="s">
        <v>213</v>
      </c>
    </row>
    <row r="126" spans="1:8" x14ac:dyDescent="0.25">
      <c r="A126" s="123"/>
      <c r="B126" s="123"/>
    </row>
    <row r="129" spans="1:1" x14ac:dyDescent="0.25">
      <c r="A129" s="122"/>
    </row>
    <row r="130" spans="1:1" x14ac:dyDescent="0.25">
      <c r="A130" s="122"/>
    </row>
    <row r="131" spans="1:1" x14ac:dyDescent="0.25">
      <c r="A131" s="122"/>
    </row>
    <row r="132" spans="1:1" x14ac:dyDescent="0.25">
      <c r="A132" s="122"/>
    </row>
    <row r="133" spans="1:1" x14ac:dyDescent="0.25">
      <c r="A133" s="122"/>
    </row>
    <row r="134" spans="1:1" x14ac:dyDescent="0.25">
      <c r="A134" s="122"/>
    </row>
    <row r="135" spans="1:1" x14ac:dyDescent="0.25">
      <c r="A135" s="122"/>
    </row>
    <row r="136" spans="1:1" x14ac:dyDescent="0.25">
      <c r="A136" s="122"/>
    </row>
  </sheetData>
  <sheetProtection selectLockedCells="1" selectUnlockedCells="1"/>
  <mergeCells count="14">
    <mergeCell ref="A119:H119"/>
    <mergeCell ref="A120:H120"/>
    <mergeCell ref="A113:H113"/>
    <mergeCell ref="A114:H114"/>
    <mergeCell ref="A115:H115"/>
    <mergeCell ref="A116:H116"/>
    <mergeCell ref="A117:H117"/>
    <mergeCell ref="A118:H118"/>
    <mergeCell ref="A112:H112"/>
    <mergeCell ref="A105:H105"/>
    <mergeCell ref="A108:H108"/>
    <mergeCell ref="A109:H109"/>
    <mergeCell ref="A110:H110"/>
    <mergeCell ref="A111:H111"/>
  </mergeCells>
  <hyperlinks>
    <hyperlink ref="B124" r:id="rId1"/>
  </hyperlinks>
  <pageMargins left="0.22013888888888888" right="0.15972222222222221" top="0.32013888888888886" bottom="0.19027777777777777" header="0.51180555555555551" footer="0.51180555555555551"/>
  <pageSetup paperSize="9" firstPageNumber="0" orientation="portrait" horizontalDpi="300" verticalDpi="30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zoomScaleNormal="100" workbookViewId="0">
      <selection activeCell="B1" sqref="B1"/>
    </sheetView>
  </sheetViews>
  <sheetFormatPr defaultRowHeight="15" x14ac:dyDescent="0.25"/>
  <cols>
    <col min="1" max="1" width="51" style="32" customWidth="1"/>
    <col min="2" max="2" width="27.28515625" style="32" customWidth="1"/>
    <col min="3" max="8" width="11.5703125" style="32" customWidth="1"/>
    <col min="9" max="16384" width="9.140625" style="32"/>
  </cols>
  <sheetData>
    <row r="1" spans="1:19" ht="30" x14ac:dyDescent="0.25">
      <c r="A1" s="146" t="s">
        <v>159</v>
      </c>
      <c r="B1" s="124" t="s">
        <v>235</v>
      </c>
      <c r="C1" s="17"/>
      <c r="D1" s="17"/>
      <c r="E1" s="17"/>
      <c r="F1" s="17"/>
      <c r="G1" s="17"/>
      <c r="H1" s="17"/>
    </row>
    <row r="2" spans="1:19" x14ac:dyDescent="0.25">
      <c r="A2" s="165"/>
      <c r="B2" s="17"/>
      <c r="C2" s="17"/>
      <c r="D2" s="17"/>
      <c r="E2" s="17"/>
      <c r="F2" s="17"/>
      <c r="G2" s="17"/>
      <c r="H2" s="17"/>
    </row>
    <row r="3" spans="1:19" x14ac:dyDescent="0.25">
      <c r="A3" s="165" t="s">
        <v>140</v>
      </c>
      <c r="B3" s="165"/>
      <c r="C3" s="165"/>
      <c r="D3" s="17"/>
      <c r="E3" s="17"/>
      <c r="F3" s="165"/>
      <c r="G3" s="165"/>
      <c r="H3" s="165"/>
    </row>
    <row r="4" spans="1:19" x14ac:dyDescent="0.25">
      <c r="A4" s="4" t="s">
        <v>157</v>
      </c>
      <c r="B4" s="4" t="s">
        <v>12</v>
      </c>
      <c r="C4" s="164">
        <v>2015</v>
      </c>
      <c r="D4" s="163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19" x14ac:dyDescent="0.25">
      <c r="A5" s="33"/>
      <c r="B5" s="33"/>
      <c r="C5" s="105"/>
      <c r="D5" s="7"/>
      <c r="E5" s="7"/>
      <c r="F5" s="7"/>
      <c r="G5" s="7"/>
      <c r="H5" s="7"/>
    </row>
    <row r="6" spans="1:19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19" x14ac:dyDescent="0.25">
      <c r="A7" s="13" t="s">
        <v>13</v>
      </c>
      <c r="B7" s="13" t="s">
        <v>25</v>
      </c>
      <c r="C7" s="51"/>
      <c r="D7" s="156"/>
      <c r="E7" s="156"/>
      <c r="F7" s="156"/>
      <c r="G7" s="156"/>
      <c r="H7" s="7"/>
    </row>
    <row r="8" spans="1:19" x14ac:dyDescent="0.25">
      <c r="A8" s="13" t="s">
        <v>26</v>
      </c>
      <c r="B8" s="13" t="s">
        <v>27</v>
      </c>
      <c r="C8" s="51">
        <v>323019</v>
      </c>
      <c r="D8" s="156">
        <v>316878</v>
      </c>
      <c r="E8" s="156">
        <v>336594</v>
      </c>
      <c r="F8" s="156">
        <v>352599</v>
      </c>
      <c r="G8" s="156">
        <v>353551</v>
      </c>
      <c r="H8" s="156">
        <v>356627</v>
      </c>
    </row>
    <row r="9" spans="1:19" x14ac:dyDescent="0.25">
      <c r="A9" s="13" t="s">
        <v>28</v>
      </c>
      <c r="B9" s="13" t="s">
        <v>14</v>
      </c>
      <c r="C9" s="51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19" x14ac:dyDescent="0.25">
      <c r="A10" s="13" t="s">
        <v>15</v>
      </c>
      <c r="B10" s="13" t="s">
        <v>29</v>
      </c>
      <c r="C10" s="158">
        <v>456631</v>
      </c>
      <c r="D10" s="7">
        <v>487259</v>
      </c>
      <c r="E10" s="7">
        <v>514617</v>
      </c>
      <c r="F10" s="7">
        <v>536932</v>
      </c>
      <c r="G10" s="7">
        <v>558535</v>
      </c>
      <c r="H10" s="7">
        <v>588468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</row>
    <row r="11" spans="1:19" x14ac:dyDescent="0.25">
      <c r="A11" s="13" t="s">
        <v>16</v>
      </c>
      <c r="B11" s="13" t="s">
        <v>30</v>
      </c>
      <c r="C11" s="51">
        <v>10484</v>
      </c>
      <c r="D11" s="7">
        <v>8000</v>
      </c>
      <c r="E11" s="7">
        <v>8000</v>
      </c>
      <c r="F11" s="7">
        <v>8000</v>
      </c>
      <c r="G11" s="7">
        <v>8000</v>
      </c>
      <c r="H11" s="7">
        <v>8000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x14ac:dyDescent="0.25">
      <c r="A12" s="13" t="s">
        <v>31</v>
      </c>
      <c r="B12" s="13" t="s">
        <v>32</v>
      </c>
      <c r="C12" s="51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 x14ac:dyDescent="0.25">
      <c r="A13" s="13" t="s">
        <v>17</v>
      </c>
      <c r="B13" s="13" t="s">
        <v>33</v>
      </c>
      <c r="C13" s="51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19" x14ac:dyDescent="0.25">
      <c r="A14" s="13" t="s">
        <v>18</v>
      </c>
      <c r="B14" s="13" t="s">
        <v>34</v>
      </c>
      <c r="C14" s="51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19" x14ac:dyDescent="0.25">
      <c r="A15" s="13" t="s">
        <v>35</v>
      </c>
      <c r="B15" s="13" t="s">
        <v>36</v>
      </c>
      <c r="C15" s="51">
        <v>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19" x14ac:dyDescent="0.25">
      <c r="A16" s="5" t="s">
        <v>0</v>
      </c>
      <c r="B16" s="5"/>
      <c r="C16" s="7">
        <f>SUM(C7:C15)</f>
        <v>790140</v>
      </c>
      <c r="D16" s="7">
        <f>SUM(D7:D15)</f>
        <v>812137</v>
      </c>
      <c r="E16" s="7">
        <f>SUM(E7:E15)</f>
        <v>859211</v>
      </c>
      <c r="F16" s="7">
        <f>SUM(F7:F15)</f>
        <v>897531</v>
      </c>
      <c r="G16" s="7">
        <f>SUM(G7:G15)</f>
        <v>920086</v>
      </c>
      <c r="H16" s="7">
        <f>SUM(H7:H15)</f>
        <v>953095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v>323019.32</v>
      </c>
      <c r="D19" s="19">
        <v>316878</v>
      </c>
      <c r="E19" s="19">
        <v>336594</v>
      </c>
      <c r="F19" s="19">
        <v>352599</v>
      </c>
      <c r="G19" s="19">
        <v>353551</v>
      </c>
      <c r="H19" s="19">
        <v>356627</v>
      </c>
    </row>
    <row r="20" spans="1:8" s="17" customFormat="1" x14ac:dyDescent="0.25">
      <c r="A20" s="18" t="s">
        <v>148</v>
      </c>
      <c r="B20" s="18" t="s">
        <v>117</v>
      </c>
      <c r="C20" s="19">
        <v>684101</v>
      </c>
      <c r="D20" s="19">
        <v>1070259</v>
      </c>
      <c r="E20" s="19">
        <v>692617</v>
      </c>
      <c r="F20" s="19">
        <v>624932</v>
      </c>
      <c r="G20" s="19">
        <v>641535</v>
      </c>
      <c r="H20" s="19">
        <v>787939</v>
      </c>
    </row>
    <row r="21" spans="1:8" s="17" customFormat="1" x14ac:dyDescent="0.25">
      <c r="A21" s="18" t="s">
        <v>114</v>
      </c>
      <c r="B21" s="18" t="s">
        <v>116</v>
      </c>
      <c r="C21" s="19">
        <v>1007116</v>
      </c>
      <c r="D21" s="19">
        <v>1387137</v>
      </c>
      <c r="E21" s="19">
        <v>1029211</v>
      </c>
      <c r="F21" s="19">
        <v>977531</v>
      </c>
      <c r="G21" s="19">
        <v>995086</v>
      </c>
      <c r="H21" s="19">
        <v>1144566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</row>
    <row r="25" spans="1:8" x14ac:dyDescent="0.25">
      <c r="A25" s="13" t="s">
        <v>23</v>
      </c>
      <c r="B25" s="13" t="s">
        <v>24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x14ac:dyDescent="0.25">
      <c r="A26" s="13" t="s">
        <v>20</v>
      </c>
      <c r="B26" s="13" t="s">
        <v>38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</row>
    <row r="27" spans="1:8" x14ac:dyDescent="0.25">
      <c r="A27" s="13" t="s">
        <v>21</v>
      </c>
      <c r="B27" s="13" t="s">
        <v>39</v>
      </c>
      <c r="C27" s="54">
        <v>-110</v>
      </c>
      <c r="D27" s="7">
        <v>-110</v>
      </c>
      <c r="E27" s="7">
        <v>-110</v>
      </c>
      <c r="F27" s="7">
        <v>-110</v>
      </c>
      <c r="G27" s="7">
        <v>-110</v>
      </c>
      <c r="H27" s="7">
        <v>-110</v>
      </c>
    </row>
    <row r="28" spans="1:8" x14ac:dyDescent="0.25">
      <c r="A28" s="13" t="s">
        <v>22</v>
      </c>
      <c r="B28" s="13" t="s">
        <v>40</v>
      </c>
      <c r="C28" s="51">
        <v>-727904</v>
      </c>
      <c r="D28" s="7">
        <v>-810129</v>
      </c>
      <c r="E28" s="156">
        <v>-859682</v>
      </c>
      <c r="F28" s="156">
        <v>-894073</v>
      </c>
      <c r="G28" s="156">
        <v>-916405</v>
      </c>
      <c r="H28" s="7">
        <v>-946338</v>
      </c>
    </row>
    <row r="29" spans="1:8" x14ac:dyDescent="0.25">
      <c r="A29" s="2" t="s">
        <v>155</v>
      </c>
      <c r="B29" s="2" t="s">
        <v>156</v>
      </c>
      <c r="C29" s="51">
        <v>-397032</v>
      </c>
      <c r="D29" s="7">
        <v>-385417</v>
      </c>
      <c r="E29" s="7">
        <v>-403886</v>
      </c>
      <c r="F29" s="7">
        <v>-423279</v>
      </c>
      <c r="G29" s="7">
        <v>-443642</v>
      </c>
      <c r="H29" s="7">
        <v>-465023</v>
      </c>
    </row>
    <row r="30" spans="1:8" x14ac:dyDescent="0.25">
      <c r="A30" s="13" t="s">
        <v>41</v>
      </c>
      <c r="B30" s="13" t="s">
        <v>42</v>
      </c>
      <c r="C30" s="51">
        <v>-2058</v>
      </c>
      <c r="D30" s="7">
        <v>-2951</v>
      </c>
      <c r="E30" s="7">
        <v>-2948</v>
      </c>
      <c r="F30" s="7">
        <v>-2547</v>
      </c>
      <c r="G30" s="7">
        <v>-2498</v>
      </c>
      <c r="H30" s="7">
        <v>-2498</v>
      </c>
    </row>
    <row r="31" spans="1:8" x14ac:dyDescent="0.25">
      <c r="A31" s="13" t="s">
        <v>43</v>
      </c>
      <c r="B31" s="13" t="s">
        <v>44</v>
      </c>
      <c r="C31" s="51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x14ac:dyDescent="0.25">
      <c r="A32" s="13" t="s">
        <v>45</v>
      </c>
      <c r="B32" s="13" t="s">
        <v>46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x14ac:dyDescent="0.25">
      <c r="A33" s="13" t="s">
        <v>47</v>
      </c>
      <c r="B33" s="13" t="s">
        <v>48</v>
      </c>
      <c r="C33" s="158">
        <v>-2</v>
      </c>
      <c r="D33" s="51">
        <v>-2</v>
      </c>
      <c r="E33" s="51">
        <v>-2</v>
      </c>
      <c r="F33" s="51">
        <v>-3</v>
      </c>
      <c r="G33" s="51">
        <v>-2</v>
      </c>
      <c r="H33" s="51">
        <v>-2</v>
      </c>
    </row>
    <row r="34" spans="1:8" x14ac:dyDescent="0.25">
      <c r="A34" s="5" t="s">
        <v>1</v>
      </c>
      <c r="B34" s="5"/>
      <c r="C34" s="7">
        <f>SUM(C24:C28)+SUM(C30:C33)</f>
        <v>-730074</v>
      </c>
      <c r="D34" s="7">
        <f>SUM(D24:D28)+SUM(D30:D33)</f>
        <v>-813192</v>
      </c>
      <c r="E34" s="7">
        <f>SUM(E24:E28)+SUM(E30:E33)</f>
        <v>-862742</v>
      </c>
      <c r="F34" s="7">
        <f>SUM(F24:F28)+SUM(F30:F33)</f>
        <v>-896733</v>
      </c>
      <c r="G34" s="7">
        <f>SUM(G24:G28)+SUM(G30:G33)</f>
        <v>-919015</v>
      </c>
      <c r="H34" s="7">
        <f>SUM(H24:H28)+SUM(H30:H33)</f>
        <v>-948948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v>-110</v>
      </c>
      <c r="D37" s="19">
        <v>-110</v>
      </c>
      <c r="E37" s="19">
        <v>-110</v>
      </c>
      <c r="F37" s="19">
        <v>-110</v>
      </c>
      <c r="G37" s="19">
        <v>-110</v>
      </c>
      <c r="H37" s="19">
        <v>-110</v>
      </c>
    </row>
    <row r="38" spans="1:8" s="17" customFormat="1" x14ac:dyDescent="0.25">
      <c r="A38" s="21" t="s">
        <v>133</v>
      </c>
      <c r="B38" s="21" t="s">
        <v>134</v>
      </c>
      <c r="C38" s="19">
        <v>-727904.43</v>
      </c>
      <c r="D38" s="19">
        <v>-810129</v>
      </c>
      <c r="E38" s="19">
        <v>-859682</v>
      </c>
      <c r="F38" s="19">
        <v>-894073</v>
      </c>
      <c r="G38" s="19">
        <v>-916405</v>
      </c>
      <c r="H38" s="19">
        <v>-946338</v>
      </c>
    </row>
    <row r="39" spans="1:8" s="17" customFormat="1" x14ac:dyDescent="0.25">
      <c r="A39" s="21" t="s">
        <v>136</v>
      </c>
      <c r="B39" s="21" t="s">
        <v>135</v>
      </c>
      <c r="C39" s="19">
        <v>-195035</v>
      </c>
      <c r="D39" s="19">
        <v>-169473</v>
      </c>
      <c r="E39" s="19">
        <v>-187238</v>
      </c>
      <c r="F39" s="19">
        <v>-223512</v>
      </c>
      <c r="G39" s="19">
        <v>-219124</v>
      </c>
      <c r="H39" s="19">
        <v>-217269</v>
      </c>
    </row>
    <row r="40" spans="1:8" s="17" customFormat="1" x14ac:dyDescent="0.25">
      <c r="A40" s="21" t="s">
        <v>138</v>
      </c>
      <c r="B40" s="21" t="s">
        <v>120</v>
      </c>
      <c r="C40" s="55">
        <v>-193617</v>
      </c>
      <c r="D40" s="19">
        <v>-166520</v>
      </c>
      <c r="E40" s="19">
        <v>-184488</v>
      </c>
      <c r="F40" s="19">
        <v>-220962</v>
      </c>
      <c r="G40" s="19">
        <v>-216774</v>
      </c>
      <c r="H40" s="19">
        <v>-214769</v>
      </c>
    </row>
    <row r="41" spans="1:8" s="17" customFormat="1" x14ac:dyDescent="0.25">
      <c r="A41" s="21" t="s">
        <v>113</v>
      </c>
      <c r="B41" s="21" t="s">
        <v>137</v>
      </c>
      <c r="C41" s="19">
        <f>SUM(C37:C39)</f>
        <v>-923049.43</v>
      </c>
      <c r="D41" s="19">
        <f>SUM(D37:D39)</f>
        <v>-979712</v>
      </c>
      <c r="E41" s="19">
        <f>SUM(E37:E39)</f>
        <v>-1047030</v>
      </c>
      <c r="F41" s="19">
        <f>SUM(F37:F39)</f>
        <v>-1117695</v>
      </c>
      <c r="G41" s="19">
        <f>SUM(G37:G39)</f>
        <v>-1135639</v>
      </c>
      <c r="H41" s="19">
        <f>SUM(H37:H39)</f>
        <v>-1163717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60066</v>
      </c>
      <c r="D43" s="159">
        <f>D16+D34</f>
        <v>-1055</v>
      </c>
      <c r="E43" s="159">
        <f>E16+E34</f>
        <v>-3531</v>
      </c>
      <c r="F43" s="159">
        <f>F16+F34</f>
        <v>798</v>
      </c>
      <c r="G43" s="159">
        <f>G16+G34</f>
        <v>1071</v>
      </c>
      <c r="H43" s="9">
        <f>H16+H34</f>
        <v>4147</v>
      </c>
    </row>
    <row r="44" spans="1:8" x14ac:dyDescent="0.25">
      <c r="A44" s="10" t="s">
        <v>3</v>
      </c>
      <c r="B44" s="10"/>
      <c r="C44" s="63">
        <f>C43/C16</f>
        <v>7.6019439592983518E-2</v>
      </c>
      <c r="D44" s="162">
        <f>D43/D16</f>
        <v>-1.2990419104165923E-3</v>
      </c>
      <c r="E44" s="162">
        <f>E43/E16</f>
        <v>-4.1095842581158762E-3</v>
      </c>
      <c r="F44" s="162">
        <f>F43/F16</f>
        <v>8.8910578019032213E-4</v>
      </c>
      <c r="G44" s="162">
        <f>G43/G16</f>
        <v>1.1640216240655765E-3</v>
      </c>
      <c r="H44" s="63">
        <f>H43/H16</f>
        <v>4.3510877719429861E-3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23">
        <f>C21+C41</f>
        <v>84066.569999999949</v>
      </c>
      <c r="D46" s="23">
        <f>D21+D41</f>
        <v>407425</v>
      </c>
      <c r="E46" s="23">
        <f>E21+E41</f>
        <v>-17819</v>
      </c>
      <c r="F46" s="23">
        <f>F21+F41</f>
        <v>-140164</v>
      </c>
      <c r="G46" s="23">
        <f>G21+G41</f>
        <v>-140553</v>
      </c>
      <c r="H46" s="23">
        <f>H21+H41</f>
        <v>-19151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13" x14ac:dyDescent="0.25">
      <c r="A49" s="2" t="s">
        <v>107</v>
      </c>
      <c r="B49" s="37"/>
      <c r="C49" s="158">
        <v>-227483</v>
      </c>
      <c r="D49" s="156">
        <v>-674055</v>
      </c>
      <c r="E49" s="156">
        <v>-170000</v>
      </c>
      <c r="F49" s="156">
        <v>-80000</v>
      </c>
      <c r="G49" s="156">
        <v>-75000</v>
      </c>
      <c r="H49" s="156">
        <v>-191471</v>
      </c>
      <c r="I49" s="161"/>
      <c r="J49" s="161"/>
      <c r="K49" s="161"/>
      <c r="L49" s="161"/>
      <c r="M49" s="161"/>
    </row>
    <row r="50" spans="1:13" x14ac:dyDescent="0.25">
      <c r="A50" s="2" t="s">
        <v>234</v>
      </c>
      <c r="B50" s="37"/>
      <c r="C50" s="158">
        <v>-10</v>
      </c>
      <c r="D50" s="156">
        <v>0</v>
      </c>
      <c r="E50" s="156">
        <v>0</v>
      </c>
      <c r="F50" s="156">
        <v>0</v>
      </c>
      <c r="G50" s="156">
        <v>0</v>
      </c>
      <c r="H50" s="156">
        <v>0</v>
      </c>
      <c r="I50" s="161"/>
      <c r="J50" s="161"/>
      <c r="K50" s="161"/>
      <c r="L50" s="161"/>
      <c r="M50" s="161"/>
    </row>
    <row r="51" spans="1:13" x14ac:dyDescent="0.25">
      <c r="A51" s="2" t="s">
        <v>4</v>
      </c>
      <c r="B51" s="37"/>
      <c r="C51" s="158">
        <v>216986</v>
      </c>
      <c r="D51" s="156">
        <v>575000</v>
      </c>
      <c r="E51" s="156">
        <v>170000</v>
      </c>
      <c r="F51" s="156">
        <v>80000</v>
      </c>
      <c r="G51" s="156">
        <v>75000</v>
      </c>
      <c r="H51" s="156">
        <v>191471</v>
      </c>
      <c r="I51" s="161"/>
      <c r="J51" s="161"/>
      <c r="K51" s="161"/>
      <c r="L51" s="161"/>
      <c r="M51" s="161"/>
    </row>
    <row r="52" spans="1:13" x14ac:dyDescent="0.25">
      <c r="A52" s="2" t="s">
        <v>5</v>
      </c>
      <c r="B52" s="37"/>
      <c r="C52" s="158">
        <v>0</v>
      </c>
      <c r="D52" s="158">
        <v>0</v>
      </c>
      <c r="E52" s="158">
        <v>0</v>
      </c>
      <c r="F52" s="158">
        <v>0</v>
      </c>
      <c r="G52" s="158">
        <v>0</v>
      </c>
      <c r="H52" s="158">
        <v>0</v>
      </c>
    </row>
    <row r="53" spans="1:13" x14ac:dyDescent="0.25">
      <c r="A53" s="2" t="s">
        <v>143</v>
      </c>
      <c r="B53" s="37"/>
      <c r="C53" s="158">
        <v>0</v>
      </c>
      <c r="D53" s="158">
        <v>0</v>
      </c>
      <c r="E53" s="158">
        <v>0</v>
      </c>
      <c r="F53" s="158">
        <v>0</v>
      </c>
      <c r="G53" s="158">
        <v>0</v>
      </c>
      <c r="H53" s="158">
        <v>0</v>
      </c>
    </row>
    <row r="54" spans="1:13" x14ac:dyDescent="0.25">
      <c r="A54" s="2" t="s">
        <v>108</v>
      </c>
      <c r="B54" s="37"/>
      <c r="C54" s="158">
        <v>0</v>
      </c>
      <c r="D54" s="158">
        <v>0</v>
      </c>
      <c r="E54" s="158">
        <v>0</v>
      </c>
      <c r="F54" s="158">
        <v>0</v>
      </c>
      <c r="G54" s="158">
        <v>0</v>
      </c>
      <c r="H54" s="158">
        <v>0</v>
      </c>
    </row>
    <row r="55" spans="1:13" x14ac:dyDescent="0.25">
      <c r="A55" s="2" t="s">
        <v>144</v>
      </c>
      <c r="B55" s="37"/>
      <c r="C55" s="158">
        <v>0</v>
      </c>
      <c r="D55" s="158">
        <v>0</v>
      </c>
      <c r="E55" s="158">
        <v>0</v>
      </c>
      <c r="F55" s="158">
        <v>0</v>
      </c>
      <c r="G55" s="158">
        <v>0</v>
      </c>
      <c r="H55" s="158">
        <v>0</v>
      </c>
    </row>
    <row r="56" spans="1:13" x14ac:dyDescent="0.25">
      <c r="A56" s="2" t="s">
        <v>109</v>
      </c>
      <c r="B56" s="37"/>
      <c r="C56" s="158">
        <v>0</v>
      </c>
      <c r="D56" s="158">
        <v>0</v>
      </c>
      <c r="E56" s="158">
        <v>0</v>
      </c>
      <c r="F56" s="158">
        <v>0</v>
      </c>
      <c r="G56" s="158">
        <v>0</v>
      </c>
      <c r="H56" s="158">
        <v>0</v>
      </c>
    </row>
    <row r="57" spans="1:13" x14ac:dyDescent="0.25">
      <c r="A57" s="2" t="s">
        <v>145</v>
      </c>
      <c r="B57" s="37"/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</row>
    <row r="58" spans="1:13" x14ac:dyDescent="0.25">
      <c r="A58" s="2" t="s">
        <v>110</v>
      </c>
      <c r="B58" s="37"/>
      <c r="C58" s="158">
        <v>0</v>
      </c>
      <c r="D58" s="158">
        <v>0</v>
      </c>
      <c r="E58" s="158">
        <v>0</v>
      </c>
      <c r="F58" s="158">
        <v>0</v>
      </c>
      <c r="G58" s="158">
        <v>0</v>
      </c>
      <c r="H58" s="158">
        <v>0</v>
      </c>
    </row>
    <row r="59" spans="1:13" x14ac:dyDescent="0.25">
      <c r="A59" s="2" t="s">
        <v>146</v>
      </c>
      <c r="B59" s="37"/>
      <c r="C59" s="158">
        <v>0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</row>
    <row r="60" spans="1:13" x14ac:dyDescent="0.25">
      <c r="A60" s="2" t="s">
        <v>111</v>
      </c>
      <c r="B60" s="37"/>
      <c r="C60" s="158">
        <v>642</v>
      </c>
      <c r="D60" s="156">
        <v>0</v>
      </c>
      <c r="E60" s="156">
        <v>200</v>
      </c>
      <c r="F60" s="156">
        <v>0</v>
      </c>
      <c r="G60" s="156">
        <v>150</v>
      </c>
      <c r="H60" s="156">
        <v>0</v>
      </c>
    </row>
    <row r="61" spans="1:13" x14ac:dyDescent="0.25">
      <c r="A61" s="2" t="s">
        <v>112</v>
      </c>
      <c r="B61" s="37"/>
      <c r="C61" s="158">
        <v>0</v>
      </c>
      <c r="D61" s="156">
        <v>0</v>
      </c>
      <c r="E61" s="156">
        <v>0</v>
      </c>
      <c r="F61" s="156">
        <v>0</v>
      </c>
      <c r="G61" s="156">
        <v>0</v>
      </c>
      <c r="H61" s="156">
        <v>0</v>
      </c>
    </row>
    <row r="62" spans="1:13" s="17" customFormat="1" x14ac:dyDescent="0.25">
      <c r="A62" s="20" t="s">
        <v>6</v>
      </c>
      <c r="B62" s="37"/>
      <c r="C62" s="156">
        <f>SUM(C49:C61)</f>
        <v>-9865</v>
      </c>
      <c r="D62" s="156">
        <f>SUM(D49:D61)</f>
        <v>-99055</v>
      </c>
      <c r="E62" s="156">
        <f>SUM(E49:E61)</f>
        <v>200</v>
      </c>
      <c r="F62" s="156">
        <f>SUM(F49:F61)</f>
        <v>0</v>
      </c>
      <c r="G62" s="156">
        <f>SUM(G49:G61)</f>
        <v>150</v>
      </c>
      <c r="H62" s="156">
        <f>SUM(H49:H61)</f>
        <v>0</v>
      </c>
    </row>
    <row r="63" spans="1:13" s="17" customFormat="1" x14ac:dyDescent="0.25">
      <c r="A63" s="20"/>
      <c r="B63" s="37"/>
      <c r="C63" s="158"/>
      <c r="D63" s="156"/>
      <c r="E63" s="156"/>
      <c r="F63" s="156"/>
      <c r="G63" s="156"/>
      <c r="H63" s="156"/>
    </row>
    <row r="64" spans="1:13" s="17" customFormat="1" x14ac:dyDescent="0.25">
      <c r="A64" s="8" t="s">
        <v>7</v>
      </c>
      <c r="B64" s="160"/>
      <c r="C64" s="159">
        <f>C43+C62</f>
        <v>50201</v>
      </c>
      <c r="D64" s="159">
        <f>D43+D62</f>
        <v>-100110</v>
      </c>
      <c r="E64" s="159">
        <f>E43+E62</f>
        <v>-3331</v>
      </c>
      <c r="F64" s="159">
        <f>F43+F62</f>
        <v>798</v>
      </c>
      <c r="G64" s="159">
        <f>G43+G62</f>
        <v>1221</v>
      </c>
      <c r="H64" s="159">
        <f>H43+H62</f>
        <v>4147</v>
      </c>
    </row>
    <row r="65" spans="1:8" s="17" customFormat="1" x14ac:dyDescent="0.25">
      <c r="A65" s="20"/>
      <c r="B65" s="37"/>
      <c r="C65" s="158"/>
      <c r="D65" s="156"/>
      <c r="E65" s="156"/>
      <c r="F65" s="156"/>
      <c r="G65" s="156"/>
      <c r="H65" s="15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</row>
    <row r="68" spans="1:8" s="17" customFormat="1" x14ac:dyDescent="0.25">
      <c r="A68" s="24" t="s">
        <v>60</v>
      </c>
      <c r="B68" s="15" t="s">
        <v>129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</row>
    <row r="69" spans="1:8" ht="60" x14ac:dyDescent="0.25">
      <c r="A69" s="13" t="s">
        <v>61</v>
      </c>
      <c r="B69" s="26" t="s">
        <v>51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</row>
    <row r="70" spans="1:8" x14ac:dyDescent="0.25">
      <c r="A70" s="13" t="s">
        <v>52</v>
      </c>
      <c r="B70" s="13" t="s">
        <v>62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</row>
    <row r="71" spans="1:8" x14ac:dyDescent="0.25">
      <c r="A71" s="13" t="s">
        <v>63</v>
      </c>
      <c r="B71" s="13" t="s">
        <v>64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</row>
    <row r="72" spans="1:8" x14ac:dyDescent="0.25">
      <c r="A72" s="157" t="s">
        <v>233</v>
      </c>
      <c r="B72" s="157" t="s">
        <v>66</v>
      </c>
      <c r="C72" s="51"/>
      <c r="D72" s="51"/>
      <c r="E72" s="51"/>
      <c r="F72" s="51"/>
      <c r="G72" s="51"/>
      <c r="H72" s="51"/>
    </row>
    <row r="73" spans="1:8" x14ac:dyDescent="0.25">
      <c r="A73" s="13" t="s">
        <v>67</v>
      </c>
      <c r="B73" s="13" t="s">
        <v>68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</row>
    <row r="74" spans="1:8" x14ac:dyDescent="0.25">
      <c r="A74" s="13" t="s">
        <v>53</v>
      </c>
      <c r="B74" s="13" t="s">
        <v>69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</row>
    <row r="75" spans="1:8" x14ac:dyDescent="0.25">
      <c r="A75" s="13" t="s">
        <v>70</v>
      </c>
      <c r="B75" s="13" t="s">
        <v>71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</row>
    <row r="76" spans="1:8" x14ac:dyDescent="0.25">
      <c r="A76" s="13" t="s">
        <v>54</v>
      </c>
      <c r="B76" s="13" t="s">
        <v>58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</row>
    <row r="77" spans="1:8" x14ac:dyDescent="0.25">
      <c r="A77" s="13" t="s">
        <v>55</v>
      </c>
      <c r="B77" s="13" t="s">
        <v>72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</row>
    <row r="78" spans="1:8" ht="60" x14ac:dyDescent="0.25">
      <c r="A78" s="13" t="s">
        <v>73</v>
      </c>
      <c r="B78" s="26" t="s">
        <v>74</v>
      </c>
      <c r="C78" s="51"/>
      <c r="D78" s="51"/>
      <c r="E78" s="51"/>
      <c r="F78" s="51"/>
      <c r="G78" s="51"/>
      <c r="H78" s="51"/>
    </row>
    <row r="79" spans="1:8" x14ac:dyDescent="0.25">
      <c r="A79" s="13" t="s">
        <v>56</v>
      </c>
      <c r="B79" s="13" t="s">
        <v>75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</row>
    <row r="80" spans="1:8" x14ac:dyDescent="0.25">
      <c r="A80" s="13" t="s">
        <v>76</v>
      </c>
      <c r="B80" s="13" t="s">
        <v>77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</row>
    <row r="81" spans="1:8" ht="15" customHeight="1" x14ac:dyDescent="0.25">
      <c r="A81" s="13" t="s">
        <v>57</v>
      </c>
      <c r="B81" s="13" t="s">
        <v>78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</row>
    <row r="82" spans="1:8" x14ac:dyDescent="0.25">
      <c r="A82" s="5" t="s">
        <v>8</v>
      </c>
      <c r="B82" s="5"/>
      <c r="C82" s="7">
        <f>SUM(C67:C81)</f>
        <v>0</v>
      </c>
      <c r="D82" s="7">
        <f>SUM(D67:D81)</f>
        <v>0</v>
      </c>
      <c r="E82" s="7">
        <f>SUM(E67:E81)</f>
        <v>0</v>
      </c>
      <c r="F82" s="7">
        <f>SUM(F67:F81)</f>
        <v>0</v>
      </c>
      <c r="G82" s="7">
        <f>SUM(G67:G81)</f>
        <v>0</v>
      </c>
      <c r="H82" s="7">
        <f>SUM(H67:H81)</f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v>36373</v>
      </c>
      <c r="D84" s="19">
        <v>110600</v>
      </c>
      <c r="E84" s="19">
        <v>37400</v>
      </c>
      <c r="F84" s="19">
        <v>37900</v>
      </c>
      <c r="G84" s="19">
        <v>38200</v>
      </c>
      <c r="H84" s="19">
        <v>39000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-228436</v>
      </c>
      <c r="D87" s="156">
        <v>-113735</v>
      </c>
      <c r="E87" s="156">
        <v>-146704</v>
      </c>
      <c r="F87" s="156">
        <v>-149502</v>
      </c>
      <c r="G87" s="156">
        <v>-152523</v>
      </c>
      <c r="H87" s="156">
        <v>-156470</v>
      </c>
    </row>
    <row r="88" spans="1:8" x14ac:dyDescent="0.25">
      <c r="A88" s="13" t="s">
        <v>88</v>
      </c>
      <c r="B88" s="2" t="s">
        <v>81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</row>
    <row r="89" spans="1:8" x14ac:dyDescent="0.25">
      <c r="A89" s="13" t="s">
        <v>88</v>
      </c>
      <c r="B89" s="2" t="s">
        <v>82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</row>
    <row r="90" spans="1:8" x14ac:dyDescent="0.25">
      <c r="A90" s="13" t="s">
        <v>89</v>
      </c>
      <c r="B90" s="2" t="s">
        <v>83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</row>
    <row r="91" spans="1:8" x14ac:dyDescent="0.25">
      <c r="A91" s="13" t="s">
        <v>90</v>
      </c>
      <c r="B91" s="2" t="s">
        <v>84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</row>
    <row r="92" spans="1:8" x14ac:dyDescent="0.25">
      <c r="A92" s="13" t="s">
        <v>79</v>
      </c>
      <c r="B92" s="2" t="s">
        <v>85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</row>
    <row r="93" spans="1:8" x14ac:dyDescent="0.25">
      <c r="A93" s="13" t="s">
        <v>91</v>
      </c>
      <c r="B93" s="2" t="s">
        <v>86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</row>
    <row r="94" spans="1:8" x14ac:dyDescent="0.25">
      <c r="A94" s="13" t="s">
        <v>92</v>
      </c>
      <c r="B94" s="2" t="s">
        <v>87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</row>
    <row r="95" spans="1:8" x14ac:dyDescent="0.25">
      <c r="A95" s="5" t="s">
        <v>10</v>
      </c>
      <c r="B95" s="5"/>
      <c r="C95" s="7">
        <f>SUM(C87:C94)</f>
        <v>-228436</v>
      </c>
      <c r="D95" s="7">
        <f>SUM(D87:D94)</f>
        <v>-113735</v>
      </c>
      <c r="E95" s="7">
        <f>SUM(E87:E94)</f>
        <v>-146704</v>
      </c>
      <c r="F95" s="7">
        <f>SUM(F87:F94)</f>
        <v>-149502</v>
      </c>
      <c r="G95" s="7">
        <f>SUM(G87:G94)</f>
        <v>-152523</v>
      </c>
      <c r="H95" s="7">
        <f>SUM(H87:H94)</f>
        <v>-156470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281619</v>
      </c>
      <c r="D97" s="19">
        <v>255735</v>
      </c>
      <c r="E97" s="19">
        <v>179204</v>
      </c>
      <c r="F97" s="19">
        <v>180502</v>
      </c>
      <c r="G97" s="19">
        <v>182022</v>
      </c>
      <c r="H97" s="19">
        <v>186969</v>
      </c>
    </row>
    <row r="98" spans="1:8" s="17" customFormat="1" x14ac:dyDescent="0.25">
      <c r="A98" s="21" t="s">
        <v>122</v>
      </c>
      <c r="B98" s="21" t="s">
        <v>127</v>
      </c>
      <c r="C98" s="55">
        <v>2619927</v>
      </c>
      <c r="D98" s="19">
        <v>3127462</v>
      </c>
      <c r="E98" s="19">
        <v>3112974</v>
      </c>
      <c r="F98" s="19">
        <v>2972012</v>
      </c>
      <c r="G98" s="19">
        <v>2830238</v>
      </c>
      <c r="H98" s="19">
        <v>2806940</v>
      </c>
    </row>
    <row r="99" spans="1:8" s="17" customFormat="1" x14ac:dyDescent="0.25">
      <c r="A99" s="21" t="s">
        <v>131</v>
      </c>
      <c r="B99" s="21"/>
      <c r="C99" s="55">
        <v>2865173</v>
      </c>
      <c r="D99" s="19">
        <v>3272597</v>
      </c>
      <c r="E99" s="19">
        <v>3254778</v>
      </c>
      <c r="F99" s="19">
        <v>3089359</v>
      </c>
      <c r="G99" s="19">
        <v>2974061</v>
      </c>
      <c r="H99" s="19">
        <v>2929655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2901546</v>
      </c>
      <c r="D100" s="55">
        <f>D97+D98</f>
        <v>3383197</v>
      </c>
      <c r="E100" s="55">
        <f>SUM(E97:E98)</f>
        <v>3292178</v>
      </c>
      <c r="F100" s="55">
        <f>F97+F98</f>
        <v>3152514</v>
      </c>
      <c r="G100" s="55">
        <f>G97+G98</f>
        <v>3012260</v>
      </c>
      <c r="H100" s="55">
        <f>H97+H98</f>
        <v>2993909</v>
      </c>
    </row>
    <row r="101" spans="1:8" x14ac:dyDescent="0.25">
      <c r="A101" s="5"/>
      <c r="B101" s="5"/>
      <c r="C101" s="5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-228436</v>
      </c>
      <c r="D102" s="9">
        <f>D82+D95</f>
        <v>-113735</v>
      </c>
      <c r="E102" s="9">
        <f>E82+E95</f>
        <v>-146704</v>
      </c>
      <c r="F102" s="9">
        <f>F82+F95</f>
        <v>-149502</v>
      </c>
      <c r="G102" s="9">
        <f>G82+G95</f>
        <v>-152523</v>
      </c>
      <c r="H102" s="9">
        <f>H82+H95</f>
        <v>-156470</v>
      </c>
    </row>
    <row r="103" spans="1:8" x14ac:dyDescent="0.25">
      <c r="A103" s="10" t="s">
        <v>3</v>
      </c>
      <c r="B103" s="10"/>
      <c r="C103" s="11">
        <f>C102/C16</f>
        <v>-0.28910825929582101</v>
      </c>
      <c r="D103" s="11">
        <f>D102/D16</f>
        <v>-0.14004410585898686</v>
      </c>
      <c r="E103" s="11">
        <f>E102/E16</f>
        <v>-0.17074269300555975</v>
      </c>
      <c r="F103" s="11">
        <f>F102/F16</f>
        <v>-0.16657029116543048</v>
      </c>
      <c r="G103" s="11">
        <f>G102/G16</f>
        <v>-0.16577037363898592</v>
      </c>
      <c r="H103" s="11">
        <f>H102/H16</f>
        <v>-0.16417041323267881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/>
    </row>
    <row r="124" spans="1:8" x14ac:dyDescent="0.25">
      <c r="A124" s="32" t="s">
        <v>232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6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6" t="s">
        <v>238</v>
      </c>
    </row>
    <row r="2" spans="1:8" x14ac:dyDescent="0.25">
      <c r="A2" s="30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105"/>
      <c r="D5" s="7"/>
      <c r="E5" s="7"/>
      <c r="F5" s="7"/>
      <c r="G5" s="7"/>
      <c r="H5" s="7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560558</v>
      </c>
      <c r="D8" s="7">
        <v>509680</v>
      </c>
      <c r="E8" s="7">
        <v>519875</v>
      </c>
      <c r="F8" s="7">
        <v>525075</v>
      </c>
      <c r="G8" s="7">
        <v>530323</v>
      </c>
      <c r="H8" s="7">
        <v>535630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1967773</v>
      </c>
      <c r="D10" s="7">
        <v>2013886</v>
      </c>
      <c r="E10" s="7">
        <v>2034025</v>
      </c>
      <c r="F10" s="7">
        <v>2054365</v>
      </c>
      <c r="G10" s="7">
        <v>2074910</v>
      </c>
      <c r="H10" s="7">
        <v>2095655</v>
      </c>
    </row>
    <row r="11" spans="1:8" x14ac:dyDescent="0.25">
      <c r="A11" s="13" t="s">
        <v>16</v>
      </c>
      <c r="B11" s="13" t="s">
        <v>30</v>
      </c>
      <c r="C11" s="51"/>
      <c r="D11" s="7"/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>
        <v>11895</v>
      </c>
      <c r="D15" s="7">
        <v>5437</v>
      </c>
      <c r="E15" s="7">
        <v>5600</v>
      </c>
      <c r="F15" s="7">
        <v>5656</v>
      </c>
      <c r="G15" s="7">
        <v>5712</v>
      </c>
      <c r="H15" s="7">
        <v>5770</v>
      </c>
    </row>
    <row r="16" spans="1:8" x14ac:dyDescent="0.25">
      <c r="A16" s="5" t="s">
        <v>0</v>
      </c>
      <c r="B16" s="5"/>
      <c r="C16" s="7">
        <f>SUM(C7:C15)</f>
        <v>2540226</v>
      </c>
      <c r="D16" s="7">
        <f>SUM(D7:D15)</f>
        <v>2529003</v>
      </c>
      <c r="E16" s="7">
        <f>SUM(E7:E15)</f>
        <v>2559500</v>
      </c>
      <c r="F16" s="7">
        <f>SUM(F7:F15)</f>
        <v>2585096</v>
      </c>
      <c r="G16" s="7">
        <f>SUM(G7:G15)</f>
        <v>2610945</v>
      </c>
      <c r="H16" s="7">
        <f>SUM(H7:H15)</f>
        <v>2637055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/>
      <c r="D19" s="19"/>
      <c r="E19" s="19"/>
      <c r="F19" s="19"/>
      <c r="G19" s="19"/>
      <c r="H19" s="19"/>
    </row>
    <row r="20" spans="1:8" s="17" customFormat="1" x14ac:dyDescent="0.25">
      <c r="A20" s="18" t="s">
        <v>148</v>
      </c>
      <c r="B20" s="18" t="s">
        <v>117</v>
      </c>
      <c r="C20" s="19"/>
      <c r="D20" s="19"/>
      <c r="E20" s="19"/>
      <c r="F20" s="19"/>
      <c r="G20" s="19"/>
      <c r="H20" s="19"/>
    </row>
    <row r="21" spans="1:8" s="17" customFormat="1" x14ac:dyDescent="0.25">
      <c r="A21" s="18" t="s">
        <v>114</v>
      </c>
      <c r="B21" s="18" t="s">
        <v>116</v>
      </c>
      <c r="C21" s="19"/>
      <c r="D21" s="19"/>
      <c r="E21" s="19"/>
      <c r="F21" s="19"/>
      <c r="G21" s="19"/>
      <c r="H21" s="19"/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v>-2519398</v>
      </c>
      <c r="D28" s="7">
        <v>-2523566</v>
      </c>
      <c r="E28" s="7">
        <v>-2559500</v>
      </c>
      <c r="F28" s="7">
        <v>-2585096</v>
      </c>
      <c r="G28" s="7">
        <v>-2610945</v>
      </c>
      <c r="H28" s="7">
        <v>-2637055</v>
      </c>
    </row>
    <row r="29" spans="1:8" x14ac:dyDescent="0.25">
      <c r="A29" s="2" t="s">
        <v>155</v>
      </c>
      <c r="B29" s="2" t="s">
        <v>156</v>
      </c>
      <c r="C29" s="51">
        <v>-1479967</v>
      </c>
      <c r="D29" s="7">
        <v>-1461807</v>
      </c>
      <c r="E29" s="7">
        <v>-1476425</v>
      </c>
      <c r="F29" s="7">
        <v>-1491190</v>
      </c>
      <c r="G29" s="7">
        <v>-1506102</v>
      </c>
      <c r="H29" s="7">
        <v>-1521164</v>
      </c>
    </row>
    <row r="30" spans="1:8" x14ac:dyDescent="0.25">
      <c r="A30" s="13" t="s">
        <v>41</v>
      </c>
      <c r="B30" s="13" t="s">
        <v>42</v>
      </c>
      <c r="C30" s="51">
        <v>-1347</v>
      </c>
      <c r="D30" s="7">
        <v>-1360</v>
      </c>
      <c r="E30" s="7">
        <v>-1362</v>
      </c>
      <c r="F30" s="7">
        <v>-1362</v>
      </c>
      <c r="G30" s="7">
        <v>-1374</v>
      </c>
      <c r="H30" s="7">
        <v>-1380</v>
      </c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/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>
        <v>-6311</v>
      </c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-2527056</v>
      </c>
      <c r="D34" s="7">
        <f>SUM(D24:D28)+SUM(D30:D33)</f>
        <v>-2524926</v>
      </c>
      <c r="E34" s="7">
        <f>SUM(E24:E28)+SUM(E30:E33)</f>
        <v>-2560862</v>
      </c>
      <c r="F34" s="7">
        <f>SUM(F24:F28)+SUM(F30:F33)</f>
        <v>-2586458</v>
      </c>
      <c r="G34" s="7">
        <f>SUM(G24:G28)+SUM(G30:G33)</f>
        <v>-2612319</v>
      </c>
      <c r="H34" s="7">
        <f>SUM(H24:H28)+SUM(H30:H33)</f>
        <v>-2638435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/>
      <c r="D37" s="19"/>
      <c r="E37" s="19"/>
      <c r="F37" s="19"/>
      <c r="G37" s="19"/>
      <c r="H37" s="19"/>
    </row>
    <row r="38" spans="1:8" s="17" customFormat="1" x14ac:dyDescent="0.25">
      <c r="A38" s="21" t="s">
        <v>133</v>
      </c>
      <c r="B38" s="21" t="s">
        <v>134</v>
      </c>
      <c r="C38" s="19"/>
      <c r="D38" s="19"/>
      <c r="E38" s="19"/>
      <c r="F38" s="19"/>
      <c r="G38" s="19"/>
      <c r="H38" s="19"/>
    </row>
    <row r="39" spans="1:8" s="17" customFormat="1" x14ac:dyDescent="0.25">
      <c r="A39" s="21" t="s">
        <v>136</v>
      </c>
      <c r="B39" s="21" t="s">
        <v>135</v>
      </c>
      <c r="C39" s="19"/>
      <c r="D39" s="19"/>
      <c r="E39" s="19"/>
      <c r="F39" s="19"/>
      <c r="G39" s="19"/>
      <c r="H39" s="19"/>
    </row>
    <row r="40" spans="1:8" s="17" customFormat="1" x14ac:dyDescent="0.25">
      <c r="A40" s="21" t="s">
        <v>138</v>
      </c>
      <c r="B40" s="21" t="s">
        <v>120</v>
      </c>
      <c r="C40" s="55"/>
      <c r="D40" s="19"/>
      <c r="E40" s="19"/>
      <c r="F40" s="19"/>
      <c r="G40" s="19"/>
      <c r="H40" s="19"/>
    </row>
    <row r="41" spans="1:8" s="17" customFormat="1" x14ac:dyDescent="0.25">
      <c r="A41" s="21" t="s">
        <v>113</v>
      </c>
      <c r="B41" s="21" t="s">
        <v>137</v>
      </c>
      <c r="C41" s="19">
        <f>SUM(C37:C39)</f>
        <v>0</v>
      </c>
      <c r="D41" s="19">
        <f>SUM(D37:D39)</f>
        <v>0</v>
      </c>
      <c r="E41" s="19">
        <f>SUM(E37:E39)</f>
        <v>0</v>
      </c>
      <c r="F41" s="19">
        <f>SUM(F37:F39)</f>
        <v>0</v>
      </c>
      <c r="G41" s="19">
        <f>SUM(G37:G39)</f>
        <v>0</v>
      </c>
      <c r="H41" s="19">
        <f>SUM(H37:H39)</f>
        <v>0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13170</v>
      </c>
      <c r="D43" s="9">
        <f>D16+D34</f>
        <v>4077</v>
      </c>
      <c r="E43" s="9">
        <f>E16+E34</f>
        <v>-1362</v>
      </c>
      <c r="F43" s="9">
        <f>F16+F34</f>
        <v>-1362</v>
      </c>
      <c r="G43" s="9">
        <f>G16+G34</f>
        <v>-1374</v>
      </c>
      <c r="H43" s="9">
        <f>H16+H34</f>
        <v>-1380</v>
      </c>
    </row>
    <row r="44" spans="1:8" x14ac:dyDescent="0.25">
      <c r="A44" s="10" t="s">
        <v>3</v>
      </c>
      <c r="B44" s="10"/>
      <c r="C44" s="63">
        <f>C43/C16</f>
        <v>5.1845780651012937E-3</v>
      </c>
      <c r="D44" s="63">
        <f>D43/D16</f>
        <v>1.6120977317939124E-3</v>
      </c>
      <c r="E44" s="63">
        <f>E43/E16</f>
        <v>-5.321351826528619E-4</v>
      </c>
      <c r="F44" s="63">
        <f>F43/F16</f>
        <v>-5.2686631366881539E-4</v>
      </c>
      <c r="G44" s="63">
        <f>G43/G16</f>
        <v>-5.2624624417595925E-4</v>
      </c>
      <c r="H44" s="63">
        <f>H43/H16</f>
        <v>-5.2331104205259279E-4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23">
        <f>C21+C41</f>
        <v>0</v>
      </c>
      <c r="D46" s="23">
        <f>D21+D41</f>
        <v>0</v>
      </c>
      <c r="E46" s="23">
        <f>E21+E41</f>
        <v>0</v>
      </c>
      <c r="F46" s="23">
        <f>F21+F41</f>
        <v>0</v>
      </c>
      <c r="G46" s="23">
        <f>G21+G41</f>
        <v>0</v>
      </c>
      <c r="H46" s="23">
        <f>H21+H41</f>
        <v>0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>
        <v>-10305</v>
      </c>
      <c r="D49" s="7"/>
      <c r="E49" s="7"/>
      <c r="F49" s="7"/>
      <c r="G49" s="7"/>
      <c r="H49" s="7"/>
    </row>
    <row r="50" spans="1:8" x14ac:dyDescent="0.25">
      <c r="A50" s="2" t="s">
        <v>142</v>
      </c>
      <c r="B50" s="5"/>
      <c r="C50" s="51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/>
      <c r="D51" s="7"/>
      <c r="E51" s="7"/>
      <c r="F51" s="7"/>
      <c r="G51" s="7"/>
      <c r="H51" s="7"/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1313</v>
      </c>
      <c r="D60" s="7">
        <v>1000</v>
      </c>
      <c r="E60" s="7">
        <v>1000</v>
      </c>
      <c r="F60" s="7">
        <v>1000</v>
      </c>
      <c r="G60" s="7">
        <v>1000</v>
      </c>
      <c r="H60" s="7">
        <v>1000</v>
      </c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-8992</v>
      </c>
      <c r="D62" s="16">
        <f>SUM(D49:D61)</f>
        <v>1000</v>
      </c>
      <c r="E62" s="16">
        <f>SUM(E49:E61)</f>
        <v>1000</v>
      </c>
      <c r="F62" s="16">
        <f>SUM(F49:F61)</f>
        <v>1000</v>
      </c>
      <c r="G62" s="16">
        <f>SUM(G49:G61)</f>
        <v>1000</v>
      </c>
      <c r="H62" s="16">
        <f>SUM(H49:H61)</f>
        <v>1000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4178</v>
      </c>
      <c r="D64" s="9">
        <f>D43+D62</f>
        <v>5077</v>
      </c>
      <c r="E64" s="9">
        <f>E43+E62</f>
        <v>-362</v>
      </c>
      <c r="F64" s="9">
        <f>F43+F62</f>
        <v>-362</v>
      </c>
      <c r="G64" s="9">
        <f>G43+G62</f>
        <v>-374</v>
      </c>
      <c r="H64" s="9">
        <f>H43+H62</f>
        <v>-380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/>
      <c r="D67" s="54"/>
      <c r="E67" s="54"/>
      <c r="F67" s="54"/>
      <c r="G67" s="54"/>
      <c r="H67" s="54"/>
    </row>
    <row r="68" spans="1:8" s="17" customFormat="1" x14ac:dyDescent="0.25">
      <c r="A68" s="24" t="s">
        <v>60</v>
      </c>
      <c r="B68" s="15" t="s">
        <v>129</v>
      </c>
      <c r="C68" s="54"/>
      <c r="D68" s="54"/>
      <c r="E68" s="54"/>
      <c r="F68" s="54"/>
      <c r="G68" s="54"/>
      <c r="H68" s="54"/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>
        <v>4850</v>
      </c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4850</v>
      </c>
      <c r="D82" s="7">
        <f>SUM(D67:D81)</f>
        <v>0</v>
      </c>
      <c r="E82" s="7">
        <f>SUM(E67:E81)</f>
        <v>0</v>
      </c>
      <c r="F82" s="7">
        <f>SUM(F67:F81)</f>
        <v>0</v>
      </c>
      <c r="G82" s="7">
        <f>SUM(G67:G81)</f>
        <v>0</v>
      </c>
      <c r="H82" s="7">
        <f>SUM(H67:H81)</f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/>
      <c r="D84" s="19"/>
      <c r="E84" s="19"/>
      <c r="F84" s="19"/>
      <c r="G84" s="19"/>
      <c r="H84" s="19"/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-167586</v>
      </c>
      <c r="D87" s="54">
        <v>-169261</v>
      </c>
      <c r="E87" s="54">
        <v>-168843</v>
      </c>
      <c r="F87" s="54">
        <v>-168974</v>
      </c>
      <c r="G87" s="54">
        <v>-169957</v>
      </c>
      <c r="H87" s="54">
        <v>-171586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-167586</v>
      </c>
      <c r="D95" s="7">
        <f>SUM(D87:D94)</f>
        <v>-169261</v>
      </c>
      <c r="E95" s="7">
        <f>SUM(E87:E94)</f>
        <v>-168843</v>
      </c>
      <c r="F95" s="7">
        <f>SUM(F87:F94)</f>
        <v>-168974</v>
      </c>
      <c r="G95" s="7">
        <f>SUM(G87:G94)</f>
        <v>-169957</v>
      </c>
      <c r="H95" s="7">
        <f>SUM(H87:H94)</f>
        <v>-171586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/>
      <c r="D97" s="19"/>
      <c r="E97" s="19"/>
      <c r="F97" s="19"/>
      <c r="G97" s="19"/>
      <c r="H97" s="19"/>
    </row>
    <row r="98" spans="1:8" s="17" customFormat="1" x14ac:dyDescent="0.25">
      <c r="A98" s="21" t="s">
        <v>122</v>
      </c>
      <c r="B98" s="21" t="s">
        <v>127</v>
      </c>
      <c r="C98" s="55"/>
      <c r="D98" s="19"/>
      <c r="E98" s="19"/>
      <c r="F98" s="19"/>
      <c r="G98" s="19"/>
      <c r="H98" s="19"/>
    </row>
    <row r="99" spans="1:8" s="17" customFormat="1" x14ac:dyDescent="0.25">
      <c r="A99" s="21" t="s">
        <v>131</v>
      </c>
      <c r="B99" s="21"/>
      <c r="C99" s="55"/>
      <c r="D99" s="19"/>
      <c r="E99" s="19"/>
      <c r="F99" s="19"/>
      <c r="G99" s="19"/>
      <c r="H99" s="19"/>
    </row>
    <row r="100" spans="1:8" s="17" customFormat="1" x14ac:dyDescent="0.25">
      <c r="A100" s="21" t="s">
        <v>123</v>
      </c>
      <c r="B100" s="21" t="s">
        <v>128</v>
      </c>
      <c r="C100" s="55">
        <f>C97+C98</f>
        <v>0</v>
      </c>
      <c r="D100" s="55">
        <f>D97+D98</f>
        <v>0</v>
      </c>
      <c r="E100" s="55">
        <f>E97+E98</f>
        <v>0</v>
      </c>
      <c r="F100" s="55">
        <f>F97+F98</f>
        <v>0</v>
      </c>
      <c r="G100" s="55">
        <f>G97+G98</f>
        <v>0</v>
      </c>
      <c r="H100" s="55">
        <f>H97+H98</f>
        <v>0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-162736</v>
      </c>
      <c r="D102" s="9">
        <f>D82+D95</f>
        <v>-169261</v>
      </c>
      <c r="E102" s="9">
        <f>E82+E95</f>
        <v>-168843</v>
      </c>
      <c r="F102" s="9">
        <f>F82+F95</f>
        <v>-168974</v>
      </c>
      <c r="G102" s="9">
        <f>G82+G95</f>
        <v>-169957</v>
      </c>
      <c r="H102" s="9">
        <f>H82+H95</f>
        <v>-171586</v>
      </c>
    </row>
    <row r="103" spans="1:8" x14ac:dyDescent="0.25">
      <c r="A103" s="10" t="s">
        <v>3</v>
      </c>
      <c r="B103" s="10"/>
      <c r="C103" s="11">
        <f>C102/C16</f>
        <v>-6.4063591192279737E-2</v>
      </c>
      <c r="D103" s="11">
        <f>D102/D16</f>
        <v>-6.6927955403769793E-2</v>
      </c>
      <c r="E103" s="11">
        <f>E102/E16</f>
        <v>-6.5967181090056656E-2</v>
      </c>
      <c r="F103" s="11">
        <f>F102/F16</f>
        <v>-6.5364690518263158E-2</v>
      </c>
      <c r="G103" s="11">
        <f>G102/G16</f>
        <v>-6.5094055983561508E-2</v>
      </c>
      <c r="H103" s="11">
        <f>H102/H16</f>
        <v>-6.5067281493939255E-2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/>
    </row>
    <row r="123" spans="1:8" x14ac:dyDescent="0.25">
      <c r="A123" s="12" t="s">
        <v>237</v>
      </c>
      <c r="B123" s="12"/>
    </row>
    <row r="124" spans="1:8" x14ac:dyDescent="0.25">
      <c r="A124" s="14" t="s">
        <v>236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hyperlinks>
    <hyperlink ref="A124" r:id="rId1"/>
  </hyperlinks>
  <pageMargins left="0.22" right="0.16" top="0.32" bottom="0.19" header="0.31496062992125984" footer="0.17"/>
  <pageSetup paperSize="9" scale="44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6" t="s">
        <v>239</v>
      </c>
    </row>
    <row r="2" spans="1:8" x14ac:dyDescent="0.25">
      <c r="A2" s="30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33"/>
      <c r="D5" s="2"/>
      <c r="E5" s="2"/>
      <c r="F5" s="2"/>
      <c r="G5" s="2"/>
      <c r="H5" s="2"/>
    </row>
    <row r="6" spans="1:8" x14ac:dyDescent="0.25">
      <c r="A6" s="5" t="s">
        <v>49</v>
      </c>
      <c r="B6" s="5"/>
      <c r="C6" s="5"/>
      <c r="D6" s="2"/>
      <c r="E6" s="2"/>
      <c r="F6" s="2"/>
      <c r="G6" s="2"/>
      <c r="H6" s="2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/>
      <c r="D8" s="7"/>
      <c r="E8" s="7"/>
      <c r="F8" s="7"/>
      <c r="G8" s="7"/>
      <c r="H8" s="7"/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36200.089999999997</v>
      </c>
      <c r="D10" s="7">
        <v>34617</v>
      </c>
      <c r="E10" s="7">
        <v>23135</v>
      </c>
      <c r="F10" s="7">
        <v>20000</v>
      </c>
      <c r="G10" s="7">
        <v>20000</v>
      </c>
      <c r="H10" s="7">
        <v>20000</v>
      </c>
    </row>
    <row r="11" spans="1:8" x14ac:dyDescent="0.25">
      <c r="A11" s="13" t="s">
        <v>16</v>
      </c>
      <c r="B11" s="13" t="s">
        <v>30</v>
      </c>
      <c r="C11" s="51"/>
      <c r="D11" s="7"/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/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36200.089999999997</v>
      </c>
      <c r="D16" s="7">
        <f>SUM(D7:D15)</f>
        <v>34617</v>
      </c>
      <c r="E16" s="7">
        <f>SUM(E7:E15)</f>
        <v>23135</v>
      </c>
      <c r="F16" s="7">
        <f>SUM(F7:F15)</f>
        <v>20000</v>
      </c>
      <c r="G16" s="7">
        <f>SUM(G7:G15)</f>
        <v>20000</v>
      </c>
      <c r="H16" s="7">
        <f>SUM(H7:H15)</f>
        <v>20000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/>
      <c r="D19" s="19"/>
      <c r="E19" s="19"/>
      <c r="F19" s="19"/>
      <c r="G19" s="19"/>
      <c r="H19" s="19"/>
    </row>
    <row r="20" spans="1:8" s="17" customFormat="1" x14ac:dyDescent="0.25">
      <c r="A20" s="18" t="s">
        <v>148</v>
      </c>
      <c r="B20" s="18" t="s">
        <v>117</v>
      </c>
      <c r="C20" s="19">
        <v>36200.089999999997</v>
      </c>
      <c r="D20" s="19">
        <f>SUM(D11:D19)</f>
        <v>34617</v>
      </c>
      <c r="E20" s="19">
        <f>SUM(E11:E19)</f>
        <v>23135</v>
      </c>
      <c r="F20" s="19">
        <f>SUM(F11:F19)</f>
        <v>20000</v>
      </c>
      <c r="G20" s="19">
        <f>SUM(G11:G19)</f>
        <v>20000</v>
      </c>
      <c r="H20" s="19">
        <f>SUM(H11:H19)</f>
        <v>20000</v>
      </c>
    </row>
    <row r="21" spans="1:8" s="17" customFormat="1" x14ac:dyDescent="0.25">
      <c r="A21" s="18" t="s">
        <v>114</v>
      </c>
      <c r="B21" s="18" t="s">
        <v>116</v>
      </c>
      <c r="C21" s="19">
        <f>SUM(C19:C20)</f>
        <v>36200.089999999997</v>
      </c>
      <c r="D21" s="19">
        <f>SUM(D12:D20)</f>
        <v>69234</v>
      </c>
      <c r="E21" s="19">
        <f>SUM(E12:E20)</f>
        <v>46270</v>
      </c>
      <c r="F21" s="19">
        <f>SUM(F12:F20)</f>
        <v>40000</v>
      </c>
      <c r="G21" s="19">
        <f>SUM(G12:G20)</f>
        <v>40000</v>
      </c>
      <c r="H21" s="19">
        <f>SUM(H12:H20)</f>
        <v>40000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v>-17586.099999999999</v>
      </c>
      <c r="D28" s="7">
        <v>-18707</v>
      </c>
      <c r="E28" s="7">
        <v>-18707</v>
      </c>
      <c r="F28" s="7">
        <v>-18707</v>
      </c>
      <c r="G28" s="7">
        <v>-18707</v>
      </c>
      <c r="H28" s="7">
        <v>-18707</v>
      </c>
    </row>
    <row r="29" spans="1:8" x14ac:dyDescent="0.25">
      <c r="A29" s="2" t="s">
        <v>155</v>
      </c>
      <c r="B29" s="2" t="s">
        <v>156</v>
      </c>
      <c r="C29" s="51">
        <v>-13858.6</v>
      </c>
      <c r="D29" s="7">
        <v>-12240</v>
      </c>
      <c r="E29" s="7">
        <v>-12240</v>
      </c>
      <c r="F29" s="7">
        <v>-12240</v>
      </c>
      <c r="G29" s="7">
        <v>-12240</v>
      </c>
      <c r="H29" s="7">
        <v>-12240</v>
      </c>
    </row>
    <row r="30" spans="1:8" x14ac:dyDescent="0.25">
      <c r="A30" s="13" t="s">
        <v>41</v>
      </c>
      <c r="B30" s="13" t="s">
        <v>42</v>
      </c>
      <c r="C30" s="51">
        <v>-736.95</v>
      </c>
      <c r="D30" s="7">
        <v>-800</v>
      </c>
      <c r="E30" s="7">
        <v>-800</v>
      </c>
      <c r="F30" s="7">
        <v>-800</v>
      </c>
      <c r="G30" s="7">
        <v>-800</v>
      </c>
      <c r="H30" s="7">
        <v>-800</v>
      </c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>
        <v>-79307.22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x14ac:dyDescent="0.25">
      <c r="A33" s="13" t="s">
        <v>47</v>
      </c>
      <c r="B33" s="13" t="s">
        <v>48</v>
      </c>
      <c r="C33" s="51"/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-97630.26999999999</v>
      </c>
      <c r="D34" s="7">
        <f>SUM(D24:D28)+SUM(D30:D33)</f>
        <v>-19507</v>
      </c>
      <c r="E34" s="7">
        <f>SUM(E24:E28)+SUM(E30:E33)</f>
        <v>-19507</v>
      </c>
      <c r="F34" s="7">
        <f>SUM(F24:F28)+SUM(F30:F33)</f>
        <v>-19507</v>
      </c>
      <c r="G34" s="7">
        <f>SUM(G24:G28)+SUM(G30:G33)</f>
        <v>-19507</v>
      </c>
      <c r="H34" s="7">
        <f>SUM(H24:H28)+SUM(H30:H33)</f>
        <v>-19507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/>
      <c r="D37" s="19"/>
      <c r="E37" s="19"/>
      <c r="F37" s="19"/>
      <c r="G37" s="19"/>
      <c r="H37" s="19"/>
    </row>
    <row r="38" spans="1:8" s="17" customFormat="1" x14ac:dyDescent="0.25">
      <c r="A38" s="21" t="s">
        <v>133</v>
      </c>
      <c r="B38" s="21" t="s">
        <v>134</v>
      </c>
      <c r="C38" s="19">
        <v>-17586.099999999999</v>
      </c>
      <c r="D38" s="19">
        <v>-18707</v>
      </c>
      <c r="E38" s="19">
        <v>-18707</v>
      </c>
      <c r="F38" s="19">
        <v>-18707</v>
      </c>
      <c r="G38" s="19">
        <v>-18707</v>
      </c>
      <c r="H38" s="19">
        <v>-18707</v>
      </c>
    </row>
    <row r="39" spans="1:8" s="17" customFormat="1" x14ac:dyDescent="0.25">
      <c r="A39" s="21" t="s">
        <v>136</v>
      </c>
      <c r="B39" s="21" t="s">
        <v>135</v>
      </c>
      <c r="C39" s="19">
        <f>-7992.07-79307.22</f>
        <v>-87299.290000000008</v>
      </c>
      <c r="D39" s="19">
        <f>-14617-800</f>
        <v>-15417</v>
      </c>
      <c r="E39" s="19">
        <f>-3135-800</f>
        <v>-3935</v>
      </c>
      <c r="F39" s="19">
        <v>-800</v>
      </c>
      <c r="G39" s="19">
        <v>-800</v>
      </c>
      <c r="H39" s="19">
        <v>-800</v>
      </c>
    </row>
    <row r="40" spans="1:8" s="17" customFormat="1" x14ac:dyDescent="0.25">
      <c r="A40" s="21" t="s">
        <v>138</v>
      </c>
      <c r="B40" s="21" t="s">
        <v>120</v>
      </c>
      <c r="C40" s="55"/>
      <c r="D40" s="19"/>
      <c r="E40" s="19"/>
      <c r="F40" s="19"/>
      <c r="G40" s="19"/>
      <c r="H40" s="19"/>
    </row>
    <row r="41" spans="1:8" s="17" customFormat="1" x14ac:dyDescent="0.25">
      <c r="A41" s="21" t="s">
        <v>113</v>
      </c>
      <c r="B41" s="21" t="s">
        <v>137</v>
      </c>
      <c r="C41" s="19">
        <f>SUM(C37:C39)</f>
        <v>-104885.39000000001</v>
      </c>
      <c r="D41" s="19">
        <f>SUM(D37:D39)</f>
        <v>-34124</v>
      </c>
      <c r="E41" s="19">
        <f>SUM(E37:E39)</f>
        <v>-22642</v>
      </c>
      <c r="F41" s="19">
        <f>SUM(F37:F39)</f>
        <v>-19507</v>
      </c>
      <c r="G41" s="19">
        <f>SUM(G37:G39)</f>
        <v>-19507</v>
      </c>
      <c r="H41" s="19">
        <f>SUM(H37:H39)</f>
        <v>-19507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-61430.179999999993</v>
      </c>
      <c r="D43" s="9">
        <f>D16+D34</f>
        <v>15110</v>
      </c>
      <c r="E43" s="9">
        <f>E16+E34</f>
        <v>3628</v>
      </c>
      <c r="F43" s="9">
        <f>F16+F34</f>
        <v>493</v>
      </c>
      <c r="G43" s="9">
        <f>G16+G34</f>
        <v>493</v>
      </c>
      <c r="H43" s="9">
        <f>H16+H34</f>
        <v>493</v>
      </c>
    </row>
    <row r="44" spans="1:8" x14ac:dyDescent="0.25">
      <c r="A44" s="10" t="s">
        <v>3</v>
      </c>
      <c r="B44" s="10"/>
      <c r="C44" s="11">
        <f>C43/C16</f>
        <v>-1.6969620793760458</v>
      </c>
      <c r="D44" s="11">
        <f>D43/D16</f>
        <v>0.43649074154317241</v>
      </c>
      <c r="E44" s="11">
        <f>E43/E16</f>
        <v>0.15681867300626756</v>
      </c>
      <c r="F44" s="11">
        <f>F43/F16</f>
        <v>2.4649999999999998E-2</v>
      </c>
      <c r="G44" s="11">
        <f>G43/G16</f>
        <v>2.4649999999999998E-2</v>
      </c>
      <c r="H44" s="11">
        <f>H43/H16</f>
        <v>2.4649999999999998E-2</v>
      </c>
    </row>
    <row r="45" spans="1:8" x14ac:dyDescent="0.25">
      <c r="A45" s="10"/>
      <c r="B45" s="10"/>
      <c r="C45" s="11"/>
      <c r="D45" s="11"/>
      <c r="E45" s="11"/>
      <c r="F45" s="11"/>
      <c r="G45" s="11"/>
      <c r="H45" s="11"/>
    </row>
    <row r="46" spans="1:8" s="17" customFormat="1" x14ac:dyDescent="0.25">
      <c r="A46" s="22" t="s">
        <v>130</v>
      </c>
      <c r="B46" s="22" t="s">
        <v>141</v>
      </c>
      <c r="C46" s="23">
        <f>C21+C41</f>
        <v>-68685.300000000017</v>
      </c>
      <c r="D46" s="23">
        <f>D21+D41</f>
        <v>35110</v>
      </c>
      <c r="E46" s="23">
        <f>E21+E41</f>
        <v>23628</v>
      </c>
      <c r="F46" s="23">
        <f>F21+F41</f>
        <v>20493</v>
      </c>
      <c r="G46" s="23">
        <f>G21+G41</f>
        <v>20493</v>
      </c>
      <c r="H46" s="23">
        <f>H21+H41</f>
        <v>20493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/>
      <c r="D49" s="7"/>
      <c r="E49" s="7"/>
      <c r="F49" s="7"/>
      <c r="G49" s="7"/>
      <c r="H49" s="7"/>
    </row>
    <row r="50" spans="1:8" x14ac:dyDescent="0.25">
      <c r="A50" s="2" t="s">
        <v>142</v>
      </c>
      <c r="B50" s="5"/>
      <c r="C50" s="51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/>
      <c r="D51" s="7"/>
      <c r="E51" s="7"/>
      <c r="F51" s="7"/>
      <c r="G51" s="7"/>
      <c r="H51" s="7"/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-7255.12</v>
      </c>
      <c r="D60" s="7">
        <v>-14617</v>
      </c>
      <c r="E60" s="7">
        <v>-3135</v>
      </c>
      <c r="F60" s="7">
        <v>0</v>
      </c>
      <c r="G60" s="7">
        <v>0</v>
      </c>
      <c r="H60" s="7">
        <v>0</v>
      </c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-7255.12</v>
      </c>
      <c r="D62" s="16">
        <f>SUM(D49:D61)</f>
        <v>-14617</v>
      </c>
      <c r="E62" s="16">
        <f>SUM(E49:E61)</f>
        <v>-3135</v>
      </c>
      <c r="F62" s="16">
        <f>SUM(F49:F61)</f>
        <v>0</v>
      </c>
      <c r="G62" s="16">
        <f>SUM(G49:G61)</f>
        <v>0</v>
      </c>
      <c r="H62" s="16">
        <f>SUM(H49:H61)</f>
        <v>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-68685.299999999988</v>
      </c>
      <c r="D64" s="9">
        <f>D43+D62</f>
        <v>493</v>
      </c>
      <c r="E64" s="9">
        <f>E43+E62</f>
        <v>493</v>
      </c>
      <c r="F64" s="9">
        <f>F43+F62</f>
        <v>493</v>
      </c>
      <c r="G64" s="9">
        <f>G43+G62</f>
        <v>493</v>
      </c>
      <c r="H64" s="9">
        <f>H43+H62</f>
        <v>493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>
        <v>85976</v>
      </c>
      <c r="D67" s="54">
        <v>278948</v>
      </c>
      <c r="E67" s="54">
        <v>0</v>
      </c>
      <c r="F67" s="54">
        <v>0</v>
      </c>
      <c r="G67" s="54">
        <v>0</v>
      </c>
      <c r="H67" s="54">
        <v>0</v>
      </c>
    </row>
    <row r="68" spans="1:8" s="17" customFormat="1" x14ac:dyDescent="0.25">
      <c r="A68" s="24" t="s">
        <v>60</v>
      </c>
      <c r="B68" s="15" t="s">
        <v>129</v>
      </c>
      <c r="C68" s="54">
        <v>278947.90000000002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/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364923.9</v>
      </c>
      <c r="D82" s="7">
        <f>SUM(D67:D81)</f>
        <v>278948</v>
      </c>
      <c r="E82" s="7">
        <f>SUM(E67:E81)</f>
        <v>0</v>
      </c>
      <c r="F82" s="7">
        <f>SUM(F67:F81)</f>
        <v>0</v>
      </c>
      <c r="G82" s="7">
        <f>SUM(G67:G81)</f>
        <v>0</v>
      </c>
      <c r="H82" s="7">
        <f>SUM(H67:H81)</f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/>
      <c r="D84" s="19"/>
      <c r="E84" s="19"/>
      <c r="F84" s="19"/>
      <c r="G84" s="19"/>
      <c r="H84" s="19"/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-3666.79</v>
      </c>
      <c r="D87" s="16">
        <v>-4000</v>
      </c>
      <c r="E87" s="16">
        <v>-4000</v>
      </c>
      <c r="F87" s="16">
        <v>-4000</v>
      </c>
      <c r="G87" s="16">
        <v>-4000</v>
      </c>
      <c r="H87" s="16">
        <v>-4000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-3666.79</v>
      </c>
      <c r="D95" s="7">
        <f>SUM(D87:D94)</f>
        <v>-4000</v>
      </c>
      <c r="E95" s="7">
        <f>SUM(E87:E94)</f>
        <v>-4000</v>
      </c>
      <c r="F95" s="7">
        <f>SUM(F87:F94)</f>
        <v>-4000</v>
      </c>
      <c r="G95" s="7">
        <f>SUM(G87:G94)</f>
        <v>-4000</v>
      </c>
      <c r="H95" s="7">
        <f>SUM(H87:H94)</f>
        <v>-4000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90715.03</v>
      </c>
      <c r="D97" s="19">
        <f>278948+1100+4000</f>
        <v>284048</v>
      </c>
      <c r="E97" s="19">
        <f>SUM(E95)</f>
        <v>-4000</v>
      </c>
      <c r="F97" s="19">
        <f>SUM(F95)</f>
        <v>-4000</v>
      </c>
      <c r="G97" s="19">
        <f>SUM(G95)</f>
        <v>-4000</v>
      </c>
      <c r="H97" s="19">
        <f>SUM(H95)</f>
        <v>-4000</v>
      </c>
    </row>
    <row r="98" spans="1:8" s="17" customFormat="1" x14ac:dyDescent="0.25">
      <c r="A98" s="21" t="s">
        <v>122</v>
      </c>
      <c r="B98" s="21" t="s">
        <v>127</v>
      </c>
      <c r="C98" s="55">
        <v>278947.90000000002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</row>
    <row r="99" spans="1:8" s="17" customFormat="1" x14ac:dyDescent="0.25">
      <c r="A99" s="21" t="s">
        <v>131</v>
      </c>
      <c r="B99" s="21"/>
      <c r="C99" s="55">
        <v>-21871.69</v>
      </c>
      <c r="D99" s="19">
        <f>C99+D64</f>
        <v>-21378.69</v>
      </c>
      <c r="E99" s="19">
        <f>D99+493</f>
        <v>-20885.689999999999</v>
      </c>
      <c r="F99" s="19">
        <f>E99+493</f>
        <v>-20392.689999999999</v>
      </c>
      <c r="G99" s="19">
        <f>F99+493</f>
        <v>-19899.689999999999</v>
      </c>
      <c r="H99" s="19">
        <f>G99+493</f>
        <v>-19406.689999999999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369662.93000000005</v>
      </c>
      <c r="D100" s="55">
        <f>D97+D98</f>
        <v>284048</v>
      </c>
      <c r="E100" s="55">
        <f>E97+E98</f>
        <v>-4000</v>
      </c>
      <c r="F100" s="55">
        <f>F97+F98</f>
        <v>-4000</v>
      </c>
      <c r="G100" s="55">
        <f>G97+G98</f>
        <v>-4000</v>
      </c>
      <c r="H100" s="55">
        <f>H97+H98</f>
        <v>-4000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361257.11000000004</v>
      </c>
      <c r="D102" s="9">
        <f>D82+D95</f>
        <v>274948</v>
      </c>
      <c r="E102" s="9">
        <f>E82+E95</f>
        <v>-4000</v>
      </c>
      <c r="F102" s="9">
        <f>F82+F95</f>
        <v>-4000</v>
      </c>
      <c r="G102" s="9">
        <f>G82+G95</f>
        <v>-4000</v>
      </c>
      <c r="H102" s="9">
        <f>H82+H95</f>
        <v>-4000</v>
      </c>
    </row>
    <row r="103" spans="1:8" x14ac:dyDescent="0.25">
      <c r="A103" s="10" t="s">
        <v>3</v>
      </c>
      <c r="B103" s="10"/>
      <c r="C103" s="11">
        <f>C102/C16</f>
        <v>9.9794533659999214</v>
      </c>
      <c r="D103" s="11">
        <f>D102/D16</f>
        <v>7.9425715688823413</v>
      </c>
      <c r="E103" s="11">
        <f>E102/E16</f>
        <v>-0.17289820618111088</v>
      </c>
      <c r="F103" s="11">
        <f>F102/F16</f>
        <v>-0.2</v>
      </c>
      <c r="G103" s="11">
        <f>G102/G16</f>
        <v>-0.2</v>
      </c>
      <c r="H103" s="11">
        <f>H102/H16</f>
        <v>-0.2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/>
    </row>
    <row r="123" spans="1:8" x14ac:dyDescent="0.25">
      <c r="A123" s="12"/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ColWidth="8.7109375" defaultRowHeight="15" x14ac:dyDescent="0.25"/>
  <cols>
    <col min="1" max="1" width="44.140625" style="121" customWidth="1"/>
    <col min="2" max="2" width="31.5703125" style="121" customWidth="1"/>
    <col min="3" max="8" width="17.28515625" style="121" customWidth="1"/>
    <col min="9" max="16384" width="8.7109375" style="121"/>
  </cols>
  <sheetData>
    <row r="1" spans="1:8" ht="30" x14ac:dyDescent="0.25">
      <c r="A1" s="146" t="s">
        <v>159</v>
      </c>
      <c r="B1" s="124" t="s">
        <v>242</v>
      </c>
      <c r="H1" s="121" t="s">
        <v>164</v>
      </c>
    </row>
    <row r="2" spans="1:8" x14ac:dyDescent="0.25">
      <c r="A2" s="145"/>
    </row>
    <row r="3" spans="1:8" x14ac:dyDescent="0.25">
      <c r="A3" s="145" t="s">
        <v>140</v>
      </c>
      <c r="B3" s="145"/>
      <c r="C3" s="145"/>
    </row>
    <row r="4" spans="1:8" x14ac:dyDescent="0.25">
      <c r="A4" s="144" t="s">
        <v>157</v>
      </c>
      <c r="B4" s="144" t="s">
        <v>12</v>
      </c>
      <c r="C4" s="143">
        <v>2015</v>
      </c>
      <c r="D4" s="170">
        <v>2016</v>
      </c>
      <c r="E4" s="170">
        <v>2017</v>
      </c>
      <c r="F4" s="170">
        <v>2018</v>
      </c>
      <c r="G4" s="170">
        <v>2019</v>
      </c>
      <c r="H4" s="170">
        <v>2020</v>
      </c>
    </row>
    <row r="5" spans="1:8" x14ac:dyDescent="0.25">
      <c r="A5" s="143"/>
      <c r="B5" s="143"/>
      <c r="C5" s="143"/>
      <c r="D5" s="137"/>
      <c r="E5" s="137"/>
      <c r="F5" s="137"/>
      <c r="G5" s="137"/>
      <c r="H5" s="137"/>
    </row>
    <row r="6" spans="1:8" x14ac:dyDescent="0.25">
      <c r="A6" s="135" t="s">
        <v>49</v>
      </c>
      <c r="B6" s="135"/>
      <c r="C6" s="135"/>
      <c r="D6" s="137"/>
      <c r="E6" s="137"/>
      <c r="F6" s="137"/>
      <c r="G6" s="137"/>
      <c r="H6" s="137"/>
    </row>
    <row r="7" spans="1:8" x14ac:dyDescent="0.25">
      <c r="A7" s="138" t="s">
        <v>13</v>
      </c>
      <c r="B7" s="138" t="s">
        <v>25</v>
      </c>
      <c r="C7" s="135"/>
      <c r="D7" s="137"/>
      <c r="E7" s="137"/>
      <c r="F7" s="137"/>
      <c r="G7" s="137"/>
      <c r="H7" s="137"/>
    </row>
    <row r="8" spans="1:8" x14ac:dyDescent="0.25">
      <c r="A8" s="138" t="s">
        <v>26</v>
      </c>
      <c r="B8" s="138" t="s">
        <v>27</v>
      </c>
      <c r="C8" s="134">
        <v>229154</v>
      </c>
      <c r="D8" s="134">
        <v>516824</v>
      </c>
      <c r="E8" s="134">
        <v>700100</v>
      </c>
      <c r="F8" s="134">
        <v>788800</v>
      </c>
      <c r="G8" s="134">
        <v>956825</v>
      </c>
      <c r="H8" s="134">
        <v>1023600</v>
      </c>
    </row>
    <row r="9" spans="1:8" x14ac:dyDescent="0.25">
      <c r="A9" s="138" t="s">
        <v>28</v>
      </c>
      <c r="B9" s="138" t="s">
        <v>14</v>
      </c>
      <c r="C9" s="135"/>
      <c r="D9" s="137"/>
      <c r="E9" s="137"/>
      <c r="F9" s="137"/>
      <c r="G9" s="137"/>
      <c r="H9" s="137"/>
    </row>
    <row r="10" spans="1:8" x14ac:dyDescent="0.25">
      <c r="A10" s="138" t="s">
        <v>15</v>
      </c>
      <c r="B10" s="138" t="s">
        <v>29</v>
      </c>
      <c r="C10" s="134">
        <v>814833</v>
      </c>
      <c r="D10" s="134">
        <v>1150256</v>
      </c>
      <c r="E10" s="134">
        <v>3852480</v>
      </c>
      <c r="F10" s="134">
        <v>4496169</v>
      </c>
      <c r="G10" s="134">
        <v>4605289</v>
      </c>
      <c r="H10" s="134">
        <v>2354182</v>
      </c>
    </row>
    <row r="11" spans="1:8" x14ac:dyDescent="0.25">
      <c r="A11" s="138" t="s">
        <v>16</v>
      </c>
      <c r="B11" s="138" t="s">
        <v>30</v>
      </c>
      <c r="C11" s="153"/>
      <c r="D11" s="134"/>
      <c r="E11" s="134"/>
      <c r="F11" s="134"/>
      <c r="G11" s="134"/>
      <c r="H11" s="134"/>
    </row>
    <row r="12" spans="1:8" x14ac:dyDescent="0.25">
      <c r="A12" s="138" t="s">
        <v>31</v>
      </c>
      <c r="B12" s="138" t="s">
        <v>32</v>
      </c>
      <c r="C12" s="153"/>
      <c r="D12" s="134"/>
      <c r="E12" s="134"/>
      <c r="F12" s="134"/>
      <c r="G12" s="134"/>
      <c r="H12" s="134"/>
    </row>
    <row r="13" spans="1:8" x14ac:dyDescent="0.25">
      <c r="A13" s="138" t="s">
        <v>17</v>
      </c>
      <c r="B13" s="138" t="s">
        <v>33</v>
      </c>
      <c r="C13" s="154">
        <v>10763</v>
      </c>
      <c r="D13" s="134">
        <v>12000</v>
      </c>
      <c r="E13" s="134">
        <v>13000</v>
      </c>
      <c r="F13" s="134">
        <v>15000</v>
      </c>
      <c r="G13" s="134">
        <v>17000</v>
      </c>
      <c r="H13" s="134">
        <v>18000</v>
      </c>
    </row>
    <row r="14" spans="1:8" x14ac:dyDescent="0.25">
      <c r="A14" s="138" t="s">
        <v>18</v>
      </c>
      <c r="B14" s="138" t="s">
        <v>34</v>
      </c>
      <c r="C14" s="154"/>
      <c r="D14" s="134"/>
      <c r="E14" s="134"/>
      <c r="F14" s="134"/>
      <c r="G14" s="134"/>
      <c r="H14" s="134"/>
    </row>
    <row r="15" spans="1:8" x14ac:dyDescent="0.25">
      <c r="A15" s="138" t="s">
        <v>35</v>
      </c>
      <c r="B15" s="138" t="s">
        <v>36</v>
      </c>
      <c r="C15" s="153">
        <v>1718</v>
      </c>
      <c r="D15" s="134">
        <v>56</v>
      </c>
      <c r="E15" s="134">
        <v>152</v>
      </c>
      <c r="F15" s="134">
        <v>176</v>
      </c>
      <c r="G15" s="134">
        <v>186</v>
      </c>
      <c r="H15" s="134">
        <v>113</v>
      </c>
    </row>
    <row r="16" spans="1:8" x14ac:dyDescent="0.25">
      <c r="A16" s="135" t="s">
        <v>0</v>
      </c>
      <c r="B16" s="135"/>
      <c r="C16" s="134">
        <f>SUM(C7:C15)</f>
        <v>1056468</v>
      </c>
      <c r="D16" s="134">
        <f>SUM(D7:D15)</f>
        <v>1679136</v>
      </c>
      <c r="E16" s="134">
        <f>SUM(E7:E15)</f>
        <v>4565732</v>
      </c>
      <c r="F16" s="134">
        <f>SUM(F7:F15)</f>
        <v>5300145</v>
      </c>
      <c r="G16" s="134">
        <f>SUM(G7:G15)</f>
        <v>5579300</v>
      </c>
      <c r="H16" s="134">
        <f>SUM(H7:H15)</f>
        <v>3395895</v>
      </c>
    </row>
    <row r="17" spans="1:8" x14ac:dyDescent="0.25">
      <c r="A17" s="138"/>
      <c r="B17" s="138"/>
      <c r="C17" s="134"/>
      <c r="D17" s="134"/>
      <c r="E17" s="134"/>
      <c r="F17" s="134"/>
      <c r="G17" s="134"/>
      <c r="H17" s="134"/>
    </row>
    <row r="18" spans="1:8" s="126" customFormat="1" x14ac:dyDescent="0.25">
      <c r="A18" s="147" t="s">
        <v>132</v>
      </c>
      <c r="B18" s="147"/>
      <c r="C18" s="148"/>
      <c r="D18" s="148"/>
      <c r="E18" s="148"/>
      <c r="F18" s="148"/>
      <c r="G18" s="148"/>
      <c r="H18" s="148"/>
    </row>
    <row r="19" spans="1:8" s="126" customFormat="1" x14ac:dyDescent="0.25">
      <c r="A19" s="147" t="s">
        <v>147</v>
      </c>
      <c r="B19" s="147" t="s">
        <v>115</v>
      </c>
      <c r="C19" s="148">
        <v>229154</v>
      </c>
      <c r="D19" s="148">
        <v>516824</v>
      </c>
      <c r="E19" s="148">
        <v>700100</v>
      </c>
      <c r="F19" s="148">
        <v>788800</v>
      </c>
      <c r="G19" s="148">
        <v>956825</v>
      </c>
      <c r="H19" s="148">
        <v>1023600</v>
      </c>
    </row>
    <row r="20" spans="1:8" s="126" customFormat="1" x14ac:dyDescent="0.25">
      <c r="A20" s="147" t="s">
        <v>148</v>
      </c>
      <c r="B20" s="147" t="s">
        <v>117</v>
      </c>
      <c r="C20" s="148">
        <v>814833</v>
      </c>
      <c r="D20" s="148">
        <v>1150256</v>
      </c>
      <c r="E20" s="148">
        <v>3852480</v>
      </c>
      <c r="F20" s="148">
        <v>4496169</v>
      </c>
      <c r="G20" s="148">
        <v>4605289</v>
      </c>
      <c r="H20" s="148">
        <v>2354182</v>
      </c>
    </row>
    <row r="21" spans="1:8" s="126" customFormat="1" x14ac:dyDescent="0.25">
      <c r="A21" s="147" t="s">
        <v>114</v>
      </c>
      <c r="B21" s="147" t="s">
        <v>116</v>
      </c>
      <c r="C21" s="148">
        <f>SUM(C19:C20)</f>
        <v>1043987</v>
      </c>
      <c r="D21" s="148">
        <f>SUM(D19:D20)</f>
        <v>1667080</v>
      </c>
      <c r="E21" s="148">
        <f>SUM(E19:E20)</f>
        <v>4552580</v>
      </c>
      <c r="F21" s="148">
        <f>SUM(F19:F20)</f>
        <v>5284969</v>
      </c>
      <c r="G21" s="148">
        <f>SUM(G19:G20)</f>
        <v>5562114</v>
      </c>
      <c r="H21" s="148">
        <f>SUM(H19:H20)</f>
        <v>3377782</v>
      </c>
    </row>
    <row r="22" spans="1:8" x14ac:dyDescent="0.25">
      <c r="A22" s="138"/>
      <c r="B22" s="138"/>
      <c r="C22" s="153"/>
      <c r="D22" s="134"/>
      <c r="E22" s="134"/>
      <c r="F22" s="134"/>
      <c r="G22" s="134"/>
      <c r="H22" s="134"/>
    </row>
    <row r="23" spans="1:8" x14ac:dyDescent="0.25">
      <c r="A23" s="137" t="s">
        <v>149</v>
      </c>
      <c r="B23" s="138"/>
      <c r="C23" s="153"/>
      <c r="D23" s="134"/>
      <c r="E23" s="134"/>
      <c r="F23" s="134"/>
      <c r="G23" s="134"/>
      <c r="H23" s="134"/>
    </row>
    <row r="24" spans="1:8" x14ac:dyDescent="0.25">
      <c r="A24" s="138" t="s">
        <v>19</v>
      </c>
      <c r="B24" s="138" t="s">
        <v>37</v>
      </c>
      <c r="C24" s="153"/>
      <c r="D24" s="134"/>
      <c r="E24" s="134"/>
      <c r="F24" s="134"/>
      <c r="G24" s="134"/>
      <c r="H24" s="134"/>
    </row>
    <row r="25" spans="1:8" x14ac:dyDescent="0.25">
      <c r="A25" s="138" t="s">
        <v>23</v>
      </c>
      <c r="B25" s="138" t="s">
        <v>24</v>
      </c>
      <c r="C25" s="153"/>
      <c r="D25" s="134"/>
      <c r="E25" s="134"/>
      <c r="F25" s="134"/>
      <c r="G25" s="134"/>
      <c r="H25" s="134"/>
    </row>
    <row r="26" spans="1:8" x14ac:dyDescent="0.25">
      <c r="A26" s="138" t="s">
        <v>20</v>
      </c>
      <c r="B26" s="138" t="s">
        <v>38</v>
      </c>
      <c r="C26" s="134">
        <v>-1681</v>
      </c>
      <c r="D26" s="134">
        <v>-1406</v>
      </c>
      <c r="E26" s="134">
        <v>-1406</v>
      </c>
      <c r="F26" s="134">
        <v>-1406</v>
      </c>
      <c r="G26" s="134">
        <v>-1406</v>
      </c>
      <c r="H26" s="134">
        <v>-1406</v>
      </c>
    </row>
    <row r="27" spans="1:8" x14ac:dyDescent="0.25">
      <c r="A27" s="138" t="s">
        <v>21</v>
      </c>
      <c r="B27" s="138" t="s">
        <v>39</v>
      </c>
      <c r="C27" s="134">
        <v>-1305</v>
      </c>
      <c r="D27" s="134">
        <v>-355</v>
      </c>
      <c r="E27" s="134">
        <v>-355</v>
      </c>
      <c r="F27" s="134">
        <v>-355</v>
      </c>
      <c r="G27" s="134">
        <v>-355</v>
      </c>
      <c r="H27" s="134">
        <v>-355</v>
      </c>
    </row>
    <row r="28" spans="1:8" x14ac:dyDescent="0.25">
      <c r="A28" s="138" t="s">
        <v>22</v>
      </c>
      <c r="B28" s="138" t="s">
        <v>40</v>
      </c>
      <c r="C28" s="166">
        <v>-817921</v>
      </c>
      <c r="D28" s="134">
        <v>-1160455</v>
      </c>
      <c r="E28" s="134">
        <v>-1334825</v>
      </c>
      <c r="F28" s="134">
        <v>-1442848</v>
      </c>
      <c r="G28" s="134">
        <v>-1507431</v>
      </c>
      <c r="H28" s="134">
        <v>-1564784</v>
      </c>
    </row>
    <row r="29" spans="1:8" x14ac:dyDescent="0.25">
      <c r="A29" s="137" t="s">
        <v>155</v>
      </c>
      <c r="B29" s="137" t="s">
        <v>156</v>
      </c>
      <c r="C29" s="166">
        <v>-544088</v>
      </c>
      <c r="D29" s="134">
        <v>-776479</v>
      </c>
      <c r="E29" s="134">
        <v>-896325</v>
      </c>
      <c r="F29" s="134">
        <v>-922978</v>
      </c>
      <c r="G29" s="134">
        <v>-949631</v>
      </c>
      <c r="H29" s="134">
        <v>-976284</v>
      </c>
    </row>
    <row r="30" spans="1:8" x14ac:dyDescent="0.25">
      <c r="A30" s="138" t="s">
        <v>41</v>
      </c>
      <c r="B30" s="138" t="s">
        <v>42</v>
      </c>
      <c r="C30" s="166">
        <v>-11978</v>
      </c>
      <c r="D30" s="134">
        <v>-24465</v>
      </c>
      <c r="E30" s="134">
        <v>-27642</v>
      </c>
      <c r="F30" s="134">
        <v>-38782</v>
      </c>
      <c r="G30" s="134">
        <v>-34591</v>
      </c>
      <c r="H30" s="134">
        <v>-36379</v>
      </c>
    </row>
    <row r="31" spans="1:8" x14ac:dyDescent="0.25">
      <c r="A31" s="138" t="s">
        <v>43</v>
      </c>
      <c r="B31" s="138" t="s">
        <v>44</v>
      </c>
      <c r="C31" s="154">
        <v>-4275</v>
      </c>
      <c r="D31" s="134">
        <v>-5300</v>
      </c>
      <c r="E31" s="134">
        <v>-5800</v>
      </c>
      <c r="F31" s="134">
        <v>-6400</v>
      </c>
      <c r="G31" s="134">
        <v>-680000</v>
      </c>
      <c r="H31" s="134">
        <v>-7500</v>
      </c>
    </row>
    <row r="32" spans="1:8" ht="30" x14ac:dyDescent="0.25">
      <c r="A32" s="135" t="s">
        <v>45</v>
      </c>
      <c r="B32" s="138" t="s">
        <v>46</v>
      </c>
      <c r="C32" s="154">
        <v>-1</v>
      </c>
      <c r="D32" s="154"/>
      <c r="E32" s="154"/>
      <c r="F32" s="154"/>
      <c r="G32" s="154"/>
      <c r="H32" s="154"/>
    </row>
    <row r="33" spans="1:8" x14ac:dyDescent="0.25">
      <c r="A33" s="138" t="s">
        <v>47</v>
      </c>
      <c r="B33" s="138" t="s">
        <v>48</v>
      </c>
      <c r="C33" s="166">
        <v>-9</v>
      </c>
      <c r="D33" s="166"/>
      <c r="E33" s="166"/>
      <c r="F33" s="166"/>
      <c r="G33" s="166"/>
      <c r="H33" s="166"/>
    </row>
    <row r="34" spans="1:8" x14ac:dyDescent="0.25">
      <c r="A34" s="135" t="s">
        <v>1</v>
      </c>
      <c r="B34" s="135"/>
      <c r="C34" s="134">
        <f>SUM(C24:C28)+SUM(C30:C33)</f>
        <v>-837170</v>
      </c>
      <c r="D34" s="134">
        <f>SUM(D24:D28)+SUM(D30:D33)</f>
        <v>-1191981</v>
      </c>
      <c r="E34" s="134">
        <f>SUM(E24:E28)+SUM(E30:E33)</f>
        <v>-1370028</v>
      </c>
      <c r="F34" s="134">
        <f>SUM(F24:F28)+SUM(F30:F33)</f>
        <v>-1489791</v>
      </c>
      <c r="G34" s="134">
        <f>SUM(G24:G28)+SUM(G30:G33)</f>
        <v>-2223783</v>
      </c>
      <c r="H34" s="134">
        <f>SUM(H24:H28)+SUM(H30:H33)</f>
        <v>-1610424</v>
      </c>
    </row>
    <row r="35" spans="1:8" x14ac:dyDescent="0.25">
      <c r="A35" s="135"/>
      <c r="B35" s="135"/>
      <c r="C35" s="134"/>
      <c r="D35" s="134"/>
      <c r="E35" s="134"/>
      <c r="F35" s="134"/>
      <c r="G35" s="134"/>
      <c r="H35" s="134"/>
    </row>
    <row r="36" spans="1:8" s="126" customFormat="1" x14ac:dyDescent="0.25">
      <c r="A36" s="149" t="s">
        <v>150</v>
      </c>
      <c r="B36" s="149"/>
      <c r="C36" s="148"/>
      <c r="D36" s="148"/>
      <c r="E36" s="148"/>
      <c r="F36" s="148"/>
      <c r="G36" s="148"/>
      <c r="H36" s="148"/>
    </row>
    <row r="37" spans="1:8" s="126" customFormat="1" x14ac:dyDescent="0.25">
      <c r="A37" s="149" t="s">
        <v>119</v>
      </c>
      <c r="B37" s="149" t="s">
        <v>118</v>
      </c>
      <c r="C37" s="148">
        <v>-2986</v>
      </c>
      <c r="D37" s="148">
        <v>-1150256</v>
      </c>
      <c r="E37" s="148">
        <v>-3852480</v>
      </c>
      <c r="F37" s="148">
        <v>-4496169</v>
      </c>
      <c r="G37" s="148">
        <v>-4605289</v>
      </c>
      <c r="H37" s="148">
        <v>-2354182</v>
      </c>
    </row>
    <row r="38" spans="1:8" s="126" customFormat="1" x14ac:dyDescent="0.25">
      <c r="A38" s="149" t="s">
        <v>133</v>
      </c>
      <c r="B38" s="149" t="s">
        <v>134</v>
      </c>
      <c r="C38" s="148">
        <v>-817921</v>
      </c>
      <c r="D38" s="148">
        <v>-1900934</v>
      </c>
      <c r="E38" s="148">
        <v>-2195150</v>
      </c>
      <c r="F38" s="148">
        <v>-2329826</v>
      </c>
      <c r="G38" s="148">
        <v>-2421062</v>
      </c>
      <c r="H38" s="148">
        <v>-2505068</v>
      </c>
    </row>
    <row r="39" spans="1:8" s="126" customFormat="1" x14ac:dyDescent="0.25">
      <c r="A39" s="149" t="s">
        <v>136</v>
      </c>
      <c r="B39" s="149" t="s">
        <v>135</v>
      </c>
      <c r="C39" s="148">
        <v>-147338</v>
      </c>
      <c r="D39" s="148">
        <v>-139765</v>
      </c>
      <c r="E39" s="148">
        <v>-143442</v>
      </c>
      <c r="F39" s="148">
        <v>-160182</v>
      </c>
      <c r="G39" s="148">
        <v>-864591</v>
      </c>
      <c r="H39" s="148">
        <v>-193879</v>
      </c>
    </row>
    <row r="40" spans="1:8" s="126" customFormat="1" x14ac:dyDescent="0.25">
      <c r="A40" s="149" t="s">
        <v>138</v>
      </c>
      <c r="B40" s="149" t="s">
        <v>120</v>
      </c>
      <c r="C40" s="148">
        <v>-131075</v>
      </c>
      <c r="D40" s="148">
        <v>-110000</v>
      </c>
      <c r="E40" s="148">
        <v>-110000</v>
      </c>
      <c r="F40" s="148">
        <v>-115000</v>
      </c>
      <c r="G40" s="148">
        <v>-150000</v>
      </c>
      <c r="H40" s="148">
        <v>-150000</v>
      </c>
    </row>
    <row r="41" spans="1:8" s="126" customFormat="1" x14ac:dyDescent="0.25">
      <c r="A41" s="149" t="s">
        <v>113</v>
      </c>
      <c r="B41" s="149" t="s">
        <v>137</v>
      </c>
      <c r="C41" s="148">
        <f>SUM(C37:C39)</f>
        <v>-968245</v>
      </c>
      <c r="D41" s="148">
        <f>SUM(D37:D39)</f>
        <v>-3190955</v>
      </c>
      <c r="E41" s="148">
        <f>SUM(E37:E39)</f>
        <v>-6191072</v>
      </c>
      <c r="F41" s="148">
        <f>SUM(F37:F39)</f>
        <v>-6986177</v>
      </c>
      <c r="G41" s="148">
        <f>SUM(G37:G39)</f>
        <v>-7890942</v>
      </c>
      <c r="H41" s="148">
        <f>SUM(H37:H39)</f>
        <v>-5053129</v>
      </c>
    </row>
    <row r="42" spans="1:8" x14ac:dyDescent="0.25">
      <c r="A42" s="135"/>
      <c r="B42" s="135"/>
      <c r="C42" s="153"/>
      <c r="D42" s="134"/>
      <c r="E42" s="134"/>
      <c r="F42" s="134"/>
      <c r="G42" s="134"/>
      <c r="H42" s="134"/>
    </row>
    <row r="43" spans="1:8" x14ac:dyDescent="0.25">
      <c r="A43" s="133" t="s">
        <v>2</v>
      </c>
      <c r="B43" s="133"/>
      <c r="C43" s="132">
        <f>C16+C34</f>
        <v>219298</v>
      </c>
      <c r="D43" s="132">
        <f>D16+D34</f>
        <v>487155</v>
      </c>
      <c r="E43" s="132">
        <f>E16+E34</f>
        <v>3195704</v>
      </c>
      <c r="F43" s="132">
        <f>F16+F34</f>
        <v>3810354</v>
      </c>
      <c r="G43" s="132">
        <f>G16+G34</f>
        <v>3355517</v>
      </c>
      <c r="H43" s="132">
        <f>H16+H34</f>
        <v>1785471</v>
      </c>
    </row>
    <row r="44" spans="1:8" x14ac:dyDescent="0.25">
      <c r="A44" s="131" t="s">
        <v>3</v>
      </c>
      <c r="B44" s="131"/>
      <c r="C44" s="130">
        <f>C43/C16</f>
        <v>0.20757656644593117</v>
      </c>
      <c r="D44" s="130">
        <f>D43/D16</f>
        <v>0.29012242010176664</v>
      </c>
      <c r="E44" s="130">
        <f>E43/E16</f>
        <v>0.69993245332840381</v>
      </c>
      <c r="F44" s="130">
        <f>F43/F16</f>
        <v>0.71891504855055854</v>
      </c>
      <c r="G44" s="130">
        <f>G43/G16</f>
        <v>0.60142257989353498</v>
      </c>
      <c r="H44" s="130">
        <f>H43/H16</f>
        <v>0.52577332338013982</v>
      </c>
    </row>
    <row r="45" spans="1:8" x14ac:dyDescent="0.25">
      <c r="A45" s="131"/>
      <c r="B45" s="131"/>
      <c r="C45" s="169"/>
      <c r="D45" s="169"/>
      <c r="E45" s="169"/>
      <c r="F45" s="169"/>
      <c r="G45" s="169"/>
      <c r="H45" s="169"/>
    </row>
    <row r="46" spans="1:8" s="126" customFormat="1" x14ac:dyDescent="0.25">
      <c r="A46" s="150" t="s">
        <v>130</v>
      </c>
      <c r="B46" s="150" t="s">
        <v>141</v>
      </c>
      <c r="C46" s="151">
        <f>C21+C41</f>
        <v>75742</v>
      </c>
      <c r="D46" s="151">
        <f>D21+D41</f>
        <v>-1523875</v>
      </c>
      <c r="E46" s="151">
        <f>E21+E41</f>
        <v>-1638492</v>
      </c>
      <c r="F46" s="151">
        <f>F21+F41</f>
        <v>-1701208</v>
      </c>
      <c r="G46" s="151">
        <f>G21+G41</f>
        <v>-2328828</v>
      </c>
      <c r="H46" s="151">
        <f>H21+H41</f>
        <v>-1675347</v>
      </c>
    </row>
    <row r="47" spans="1:8" x14ac:dyDescent="0.25">
      <c r="A47" s="131"/>
      <c r="B47" s="131"/>
      <c r="C47" s="169"/>
      <c r="D47" s="169"/>
      <c r="E47" s="169"/>
      <c r="F47" s="169"/>
      <c r="G47" s="169"/>
      <c r="H47" s="169"/>
    </row>
    <row r="48" spans="1:8" x14ac:dyDescent="0.25">
      <c r="A48" s="135" t="s">
        <v>151</v>
      </c>
      <c r="B48" s="135"/>
      <c r="C48" s="153"/>
      <c r="D48" s="134"/>
      <c r="E48" s="134"/>
      <c r="F48" s="134"/>
      <c r="G48" s="134"/>
      <c r="H48" s="134"/>
    </row>
    <row r="49" spans="1:8" x14ac:dyDescent="0.25">
      <c r="A49" s="137" t="s">
        <v>197</v>
      </c>
      <c r="B49" s="135"/>
      <c r="C49" s="166">
        <v>32967</v>
      </c>
      <c r="D49" s="134">
        <v>210468</v>
      </c>
      <c r="E49" s="134">
        <v>21000</v>
      </c>
      <c r="F49" s="134">
        <v>5000</v>
      </c>
      <c r="G49" s="134">
        <v>10000</v>
      </c>
      <c r="H49" s="134">
        <v>15000</v>
      </c>
    </row>
    <row r="50" spans="1:8" x14ac:dyDescent="0.25">
      <c r="A50" s="137" t="s">
        <v>142</v>
      </c>
      <c r="B50" s="135"/>
      <c r="C50" s="154"/>
      <c r="D50" s="134"/>
      <c r="E50" s="134"/>
      <c r="F50" s="134"/>
      <c r="G50" s="134"/>
      <c r="H50" s="134"/>
    </row>
    <row r="51" spans="1:8" x14ac:dyDescent="0.25">
      <c r="A51" s="137" t="s">
        <v>4</v>
      </c>
      <c r="B51" s="135"/>
      <c r="C51" s="166">
        <v>215481</v>
      </c>
      <c r="D51" s="154">
        <v>515159</v>
      </c>
      <c r="E51" s="134">
        <v>3191941</v>
      </c>
      <c r="F51" s="134">
        <v>3826638</v>
      </c>
      <c r="G51" s="134">
        <v>3926766</v>
      </c>
      <c r="H51" s="134">
        <v>1666667</v>
      </c>
    </row>
    <row r="52" spans="1:8" x14ac:dyDescent="0.25">
      <c r="A52" s="137" t="s">
        <v>5</v>
      </c>
      <c r="B52" s="135"/>
      <c r="C52" s="154"/>
      <c r="D52" s="134"/>
      <c r="E52" s="134"/>
      <c r="F52" s="134"/>
      <c r="G52" s="134"/>
      <c r="H52" s="134"/>
    </row>
    <row r="53" spans="1:8" x14ac:dyDescent="0.25">
      <c r="A53" s="137" t="s">
        <v>143</v>
      </c>
      <c r="B53" s="135"/>
      <c r="C53" s="154"/>
      <c r="D53" s="134"/>
      <c r="E53" s="134"/>
      <c r="F53" s="134"/>
      <c r="G53" s="134"/>
      <c r="H53" s="134"/>
    </row>
    <row r="54" spans="1:8" x14ac:dyDescent="0.25">
      <c r="A54" s="137" t="s">
        <v>108</v>
      </c>
      <c r="B54" s="135"/>
      <c r="C54" s="154"/>
      <c r="D54" s="134"/>
      <c r="E54" s="134"/>
      <c r="F54" s="134"/>
      <c r="G54" s="134"/>
      <c r="H54" s="134"/>
    </row>
    <row r="55" spans="1:8" x14ac:dyDescent="0.25">
      <c r="A55" s="137" t="s">
        <v>144</v>
      </c>
      <c r="B55" s="135"/>
      <c r="C55" s="154"/>
      <c r="D55" s="134"/>
      <c r="E55" s="134"/>
      <c r="F55" s="134"/>
      <c r="G55" s="134"/>
      <c r="H55" s="134"/>
    </row>
    <row r="56" spans="1:8" x14ac:dyDescent="0.25">
      <c r="A56" s="137" t="s">
        <v>109</v>
      </c>
      <c r="B56" s="135"/>
      <c r="C56" s="154"/>
      <c r="D56" s="134"/>
      <c r="E56" s="134"/>
      <c r="F56" s="134"/>
      <c r="G56" s="134"/>
      <c r="H56" s="134"/>
    </row>
    <row r="57" spans="1:8" x14ac:dyDescent="0.25">
      <c r="A57" s="137" t="s">
        <v>145</v>
      </c>
      <c r="B57" s="135"/>
      <c r="C57" s="154"/>
      <c r="D57" s="134"/>
      <c r="E57" s="134"/>
      <c r="F57" s="134"/>
      <c r="G57" s="134"/>
      <c r="H57" s="134"/>
    </row>
    <row r="58" spans="1:8" x14ac:dyDescent="0.25">
      <c r="A58" s="137" t="s">
        <v>110</v>
      </c>
      <c r="B58" s="135"/>
      <c r="C58" s="154"/>
      <c r="D58" s="134"/>
      <c r="E58" s="134"/>
      <c r="F58" s="134"/>
      <c r="G58" s="134"/>
      <c r="H58" s="134"/>
    </row>
    <row r="59" spans="1:8" x14ac:dyDescent="0.25">
      <c r="A59" s="137" t="s">
        <v>146</v>
      </c>
      <c r="B59" s="135"/>
      <c r="C59" s="154"/>
      <c r="D59" s="134"/>
      <c r="E59" s="134"/>
      <c r="F59" s="134"/>
      <c r="G59" s="134"/>
      <c r="H59" s="134"/>
    </row>
    <row r="60" spans="1:8" x14ac:dyDescent="0.25">
      <c r="A60" s="137" t="s">
        <v>111</v>
      </c>
      <c r="B60" s="135"/>
      <c r="C60" s="154">
        <v>22</v>
      </c>
      <c r="D60" s="134"/>
      <c r="E60" s="134"/>
      <c r="F60" s="134"/>
      <c r="G60" s="134"/>
      <c r="H60" s="134"/>
    </row>
    <row r="61" spans="1:8" x14ac:dyDescent="0.25">
      <c r="A61" s="137" t="s">
        <v>112</v>
      </c>
      <c r="B61" s="135"/>
      <c r="C61" s="153"/>
      <c r="D61" s="134"/>
      <c r="E61" s="134"/>
      <c r="F61" s="134"/>
      <c r="G61" s="134"/>
      <c r="H61" s="134"/>
    </row>
    <row r="62" spans="1:8" s="126" customFormat="1" x14ac:dyDescent="0.25">
      <c r="A62" s="168" t="s">
        <v>6</v>
      </c>
      <c r="B62" s="168"/>
      <c r="C62" s="139">
        <f>SUM(C49:C61)</f>
        <v>248470</v>
      </c>
      <c r="D62" s="139">
        <f>SUM(D49:D61)</f>
        <v>725627</v>
      </c>
      <c r="E62" s="139">
        <f>SUM(E49:E61)</f>
        <v>3212941</v>
      </c>
      <c r="F62" s="139">
        <f>SUM(F49:F61)</f>
        <v>3831638</v>
      </c>
      <c r="G62" s="139">
        <f>SUM(G49:G61)</f>
        <v>3936766</v>
      </c>
      <c r="H62" s="139">
        <f>SUM(H49:H61)</f>
        <v>1681667</v>
      </c>
    </row>
    <row r="63" spans="1:8" s="126" customFormat="1" x14ac:dyDescent="0.25">
      <c r="A63" s="168"/>
      <c r="B63" s="168"/>
      <c r="C63" s="166"/>
      <c r="D63" s="139"/>
      <c r="E63" s="139"/>
      <c r="F63" s="139"/>
      <c r="G63" s="139"/>
      <c r="H63" s="139"/>
    </row>
    <row r="64" spans="1:8" s="126" customFormat="1" x14ac:dyDescent="0.25">
      <c r="A64" s="133" t="s">
        <v>7</v>
      </c>
      <c r="B64" s="133"/>
      <c r="C64" s="132">
        <f>C43+C62</f>
        <v>467768</v>
      </c>
      <c r="D64" s="132">
        <f>D43+D62</f>
        <v>1212782</v>
      </c>
      <c r="E64" s="132">
        <f>E43+E62</f>
        <v>6408645</v>
      </c>
      <c r="F64" s="132">
        <f>F43+F62</f>
        <v>7641992</v>
      </c>
      <c r="G64" s="132">
        <f>G43+G62</f>
        <v>7292283</v>
      </c>
      <c r="H64" s="132">
        <f>H43+H62</f>
        <v>3467138</v>
      </c>
    </row>
    <row r="65" spans="1:11" s="126" customFormat="1" x14ac:dyDescent="0.25">
      <c r="A65" s="168"/>
      <c r="B65" s="168"/>
      <c r="C65" s="166"/>
      <c r="D65" s="139"/>
      <c r="E65" s="139"/>
      <c r="F65" s="139"/>
      <c r="G65" s="139"/>
      <c r="H65" s="139"/>
    </row>
    <row r="66" spans="1:11" s="126" customFormat="1" x14ac:dyDescent="0.25">
      <c r="A66" s="168" t="s">
        <v>93</v>
      </c>
      <c r="B66" s="168"/>
      <c r="C66" s="166"/>
      <c r="D66" s="139"/>
      <c r="E66" s="139"/>
      <c r="F66" s="139"/>
      <c r="G66" s="139"/>
      <c r="H66" s="139"/>
    </row>
    <row r="67" spans="1:11" s="126" customFormat="1" x14ac:dyDescent="0.25">
      <c r="A67" s="141" t="s">
        <v>59</v>
      </c>
      <c r="B67" s="141" t="s">
        <v>50</v>
      </c>
      <c r="C67" s="166"/>
      <c r="D67" s="166">
        <v>2418</v>
      </c>
      <c r="E67" s="166">
        <v>24870</v>
      </c>
      <c r="F67" s="166">
        <v>24870</v>
      </c>
      <c r="G67" s="166">
        <v>24870</v>
      </c>
      <c r="H67" s="166">
        <v>24870</v>
      </c>
    </row>
    <row r="68" spans="1:11" s="126" customFormat="1" x14ac:dyDescent="0.25">
      <c r="A68" s="141" t="s">
        <v>60</v>
      </c>
      <c r="B68" s="141" t="s">
        <v>129</v>
      </c>
      <c r="C68" s="166"/>
      <c r="D68" s="166">
        <v>126419</v>
      </c>
      <c r="E68" s="166">
        <v>101548</v>
      </c>
      <c r="F68" s="166">
        <v>76679</v>
      </c>
      <c r="G68" s="166">
        <v>51809</v>
      </c>
      <c r="H68" s="166">
        <v>26939</v>
      </c>
    </row>
    <row r="69" spans="1:11" ht="60" x14ac:dyDescent="0.25">
      <c r="A69" s="138" t="s">
        <v>61</v>
      </c>
      <c r="B69" s="135" t="s">
        <v>51</v>
      </c>
      <c r="C69" s="154"/>
      <c r="D69" s="134"/>
      <c r="E69" s="134"/>
      <c r="F69" s="134"/>
      <c r="G69" s="134"/>
      <c r="H69" s="134"/>
    </row>
    <row r="70" spans="1:11" x14ac:dyDescent="0.25">
      <c r="A70" s="138" t="s">
        <v>52</v>
      </c>
      <c r="B70" s="138" t="s">
        <v>62</v>
      </c>
      <c r="C70" s="154"/>
      <c r="D70" s="134"/>
      <c r="E70" s="134"/>
      <c r="F70" s="134"/>
      <c r="G70" s="134"/>
      <c r="H70" s="134"/>
    </row>
    <row r="71" spans="1:11" x14ac:dyDescent="0.25">
      <c r="A71" s="138" t="s">
        <v>63</v>
      </c>
      <c r="B71" s="138" t="s">
        <v>64</v>
      </c>
      <c r="C71" s="154"/>
      <c r="D71" s="134"/>
      <c r="E71" s="134"/>
      <c r="F71" s="134"/>
      <c r="G71" s="134"/>
      <c r="H71" s="134"/>
    </row>
    <row r="72" spans="1:11" x14ac:dyDescent="0.25">
      <c r="A72" s="138" t="s">
        <v>65</v>
      </c>
      <c r="B72" s="138" t="s">
        <v>66</v>
      </c>
      <c r="C72" s="154"/>
      <c r="D72" s="134"/>
      <c r="E72" s="134"/>
      <c r="F72" s="134"/>
      <c r="G72" s="134"/>
      <c r="H72" s="134"/>
    </row>
    <row r="73" spans="1:11" x14ac:dyDescent="0.25">
      <c r="A73" s="138" t="s">
        <v>67</v>
      </c>
      <c r="B73" s="138" t="s">
        <v>68</v>
      </c>
      <c r="C73" s="154"/>
      <c r="D73" s="134"/>
      <c r="E73" s="134"/>
      <c r="F73" s="134"/>
      <c r="G73" s="134"/>
      <c r="H73" s="134"/>
    </row>
    <row r="74" spans="1:11" x14ac:dyDescent="0.25">
      <c r="A74" s="138" t="s">
        <v>53</v>
      </c>
      <c r="B74" s="138" t="s">
        <v>69</v>
      </c>
      <c r="C74" s="154"/>
      <c r="D74" s="134"/>
      <c r="E74" s="134"/>
      <c r="F74" s="134"/>
      <c r="G74" s="134"/>
      <c r="H74" s="134"/>
    </row>
    <row r="75" spans="1:11" x14ac:dyDescent="0.25">
      <c r="A75" s="138" t="s">
        <v>70</v>
      </c>
      <c r="B75" s="138" t="s">
        <v>71</v>
      </c>
      <c r="C75" s="154"/>
      <c r="D75" s="134"/>
      <c r="E75" s="134"/>
      <c r="F75" s="134"/>
      <c r="G75" s="134"/>
      <c r="H75" s="134"/>
    </row>
    <row r="76" spans="1:11" x14ac:dyDescent="0.25">
      <c r="A76" s="138" t="s">
        <v>54</v>
      </c>
      <c r="B76" s="138" t="s">
        <v>58</v>
      </c>
      <c r="C76" s="154"/>
      <c r="D76" s="134"/>
      <c r="E76" s="134"/>
      <c r="F76" s="134"/>
      <c r="G76" s="134"/>
      <c r="H76" s="134"/>
    </row>
    <row r="77" spans="1:11" x14ac:dyDescent="0.25">
      <c r="A77" s="138" t="s">
        <v>55</v>
      </c>
      <c r="B77" s="138" t="s">
        <v>72</v>
      </c>
      <c r="C77" s="154"/>
      <c r="D77" s="134"/>
      <c r="E77" s="134"/>
      <c r="F77" s="134"/>
      <c r="G77" s="134"/>
      <c r="H77" s="134"/>
    </row>
    <row r="78" spans="1:11" ht="45" x14ac:dyDescent="0.25">
      <c r="A78" s="135" t="s">
        <v>73</v>
      </c>
      <c r="B78" s="135" t="s">
        <v>74</v>
      </c>
      <c r="C78" s="154"/>
      <c r="D78" s="134"/>
      <c r="E78" s="134"/>
      <c r="F78" s="134"/>
      <c r="G78" s="134"/>
      <c r="H78" s="134"/>
      <c r="K78" s="126"/>
    </row>
    <row r="79" spans="1:11" x14ac:dyDescent="0.25">
      <c r="A79" s="138" t="s">
        <v>56</v>
      </c>
      <c r="B79" s="138" t="s">
        <v>75</v>
      </c>
      <c r="C79" s="154"/>
      <c r="D79" s="134"/>
      <c r="E79" s="134"/>
      <c r="F79" s="134"/>
      <c r="G79" s="134"/>
      <c r="H79" s="134"/>
    </row>
    <row r="80" spans="1:11" x14ac:dyDescent="0.25">
      <c r="A80" s="138" t="s">
        <v>76</v>
      </c>
      <c r="B80" s="138" t="s">
        <v>77</v>
      </c>
      <c r="C80" s="154">
        <v>37557</v>
      </c>
      <c r="D80" s="134"/>
      <c r="E80" s="134"/>
      <c r="F80" s="134"/>
      <c r="G80" s="134"/>
      <c r="H80" s="134"/>
    </row>
    <row r="81" spans="1:8" ht="15" customHeight="1" x14ac:dyDescent="0.25">
      <c r="A81" s="138" t="s">
        <v>57</v>
      </c>
      <c r="B81" s="138" t="s">
        <v>78</v>
      </c>
      <c r="C81" s="154"/>
      <c r="D81" s="134"/>
      <c r="E81" s="134"/>
      <c r="F81" s="134"/>
      <c r="G81" s="134"/>
      <c r="H81" s="134"/>
    </row>
    <row r="82" spans="1:8" x14ac:dyDescent="0.25">
      <c r="A82" s="135" t="s">
        <v>8</v>
      </c>
      <c r="B82" s="135"/>
      <c r="C82" s="134">
        <f>SUM(C67:C81)</f>
        <v>37557</v>
      </c>
      <c r="D82" s="134">
        <f>SUM(D67:D81)</f>
        <v>128837</v>
      </c>
      <c r="E82" s="134">
        <f>SUM(E67:E81)</f>
        <v>126418</v>
      </c>
      <c r="F82" s="134">
        <f>SUM(F67:F81)</f>
        <v>101549</v>
      </c>
      <c r="G82" s="134">
        <f>SUM(G67:G81)</f>
        <v>76679</v>
      </c>
      <c r="H82" s="134">
        <f>SUM(H67:H81)</f>
        <v>51809</v>
      </c>
    </row>
    <row r="83" spans="1:8" x14ac:dyDescent="0.25">
      <c r="A83" s="135"/>
      <c r="B83" s="135"/>
      <c r="C83" s="153"/>
      <c r="D83" s="134"/>
      <c r="E83" s="134"/>
      <c r="F83" s="134"/>
      <c r="G83" s="134"/>
      <c r="H83" s="134"/>
    </row>
    <row r="84" spans="1:8" s="126" customFormat="1" x14ac:dyDescent="0.25">
      <c r="A84" s="149" t="s">
        <v>125</v>
      </c>
      <c r="B84" s="147" t="s">
        <v>124</v>
      </c>
      <c r="C84" s="155"/>
      <c r="D84" s="148"/>
      <c r="E84" s="148"/>
      <c r="F84" s="148"/>
      <c r="G84" s="148"/>
      <c r="H84" s="148"/>
    </row>
    <row r="85" spans="1:8" x14ac:dyDescent="0.25">
      <c r="A85" s="135"/>
      <c r="B85" s="135"/>
      <c r="C85" s="153"/>
      <c r="D85" s="134"/>
      <c r="E85" s="134"/>
      <c r="F85" s="134"/>
      <c r="G85" s="134"/>
      <c r="H85" s="134"/>
    </row>
    <row r="86" spans="1:8" x14ac:dyDescent="0.25">
      <c r="A86" s="135" t="s">
        <v>152</v>
      </c>
      <c r="B86" s="135"/>
      <c r="C86" s="167"/>
      <c r="D86" s="139"/>
      <c r="E86" s="139"/>
      <c r="F86" s="139"/>
      <c r="G86" s="139"/>
      <c r="H86" s="139"/>
    </row>
    <row r="87" spans="1:8" s="126" customFormat="1" x14ac:dyDescent="0.25">
      <c r="A87" s="141" t="s">
        <v>9</v>
      </c>
      <c r="B87" s="141" t="s">
        <v>190</v>
      </c>
      <c r="C87" s="166">
        <v>-109021</v>
      </c>
      <c r="D87" s="139">
        <v>-120150</v>
      </c>
      <c r="E87" s="139">
        <v>-1000</v>
      </c>
      <c r="F87" s="139">
        <v>-15000</v>
      </c>
      <c r="G87" s="139">
        <v>-40000</v>
      </c>
      <c r="H87" s="139">
        <v>-50000</v>
      </c>
    </row>
    <row r="88" spans="1:8" x14ac:dyDescent="0.25">
      <c r="A88" s="138" t="s">
        <v>88</v>
      </c>
      <c r="B88" s="137" t="s">
        <v>189</v>
      </c>
      <c r="C88" s="153"/>
      <c r="D88" s="134"/>
      <c r="E88" s="134"/>
      <c r="F88" s="134"/>
      <c r="G88" s="134"/>
      <c r="H88" s="134"/>
    </row>
    <row r="89" spans="1:8" x14ac:dyDescent="0.25">
      <c r="A89" s="138" t="s">
        <v>88</v>
      </c>
      <c r="B89" s="137" t="s">
        <v>188</v>
      </c>
      <c r="C89" s="153"/>
      <c r="D89" s="134"/>
      <c r="E89" s="134"/>
      <c r="F89" s="134"/>
      <c r="G89" s="134"/>
      <c r="H89" s="134"/>
    </row>
    <row r="90" spans="1:8" x14ac:dyDescent="0.25">
      <c r="A90" s="138" t="s">
        <v>89</v>
      </c>
      <c r="B90" s="137" t="s">
        <v>187</v>
      </c>
      <c r="C90" s="153"/>
      <c r="D90" s="134"/>
      <c r="E90" s="134"/>
      <c r="F90" s="134"/>
      <c r="G90" s="134"/>
      <c r="H90" s="134"/>
    </row>
    <row r="91" spans="1:8" x14ac:dyDescent="0.25">
      <c r="A91" s="138" t="s">
        <v>90</v>
      </c>
      <c r="B91" s="137" t="s">
        <v>186</v>
      </c>
      <c r="C91" s="153"/>
      <c r="D91" s="134"/>
      <c r="E91" s="134"/>
      <c r="F91" s="134"/>
      <c r="G91" s="134"/>
      <c r="H91" s="134"/>
    </row>
    <row r="92" spans="1:8" x14ac:dyDescent="0.25">
      <c r="A92" s="138" t="s">
        <v>79</v>
      </c>
      <c r="B92" s="137" t="s">
        <v>185</v>
      </c>
      <c r="C92" s="153"/>
      <c r="D92" s="134"/>
      <c r="E92" s="134"/>
      <c r="F92" s="134"/>
      <c r="G92" s="134"/>
      <c r="H92" s="134"/>
    </row>
    <row r="93" spans="1:8" x14ac:dyDescent="0.25">
      <c r="A93" s="138" t="s">
        <v>91</v>
      </c>
      <c r="B93" s="137" t="s">
        <v>184</v>
      </c>
      <c r="C93" s="153"/>
      <c r="D93" s="134"/>
      <c r="E93" s="134"/>
      <c r="F93" s="134"/>
      <c r="G93" s="134"/>
      <c r="H93" s="134"/>
    </row>
    <row r="94" spans="1:8" x14ac:dyDescent="0.25">
      <c r="A94" s="138" t="s">
        <v>92</v>
      </c>
      <c r="B94" s="137" t="s">
        <v>183</v>
      </c>
      <c r="C94" s="154"/>
      <c r="D94" s="134"/>
      <c r="E94" s="134"/>
      <c r="F94" s="134"/>
      <c r="G94" s="134"/>
      <c r="H94" s="134"/>
    </row>
    <row r="95" spans="1:8" x14ac:dyDescent="0.25">
      <c r="A95" s="135" t="s">
        <v>10</v>
      </c>
      <c r="B95" s="135"/>
      <c r="C95" s="134">
        <f>SUM(C87:C94)</f>
        <v>-109021</v>
      </c>
      <c r="D95" s="134">
        <f>SUM(D87:D94)</f>
        <v>-120150</v>
      </c>
      <c r="E95" s="134">
        <f>SUM(E87:E94)</f>
        <v>-1000</v>
      </c>
      <c r="F95" s="134">
        <f>SUM(F87:F94)</f>
        <v>-15000</v>
      </c>
      <c r="G95" s="134">
        <f>SUM(G87:G94)</f>
        <v>-40000</v>
      </c>
      <c r="H95" s="134">
        <f>SUM(H87:H94)</f>
        <v>-50000</v>
      </c>
    </row>
    <row r="96" spans="1:8" x14ac:dyDescent="0.25">
      <c r="A96" s="135"/>
      <c r="B96" s="135"/>
      <c r="C96" s="153"/>
      <c r="D96" s="134"/>
      <c r="E96" s="134"/>
      <c r="F96" s="134"/>
      <c r="G96" s="134"/>
      <c r="H96" s="134"/>
    </row>
    <row r="97" spans="1:8" s="126" customFormat="1" x14ac:dyDescent="0.25">
      <c r="A97" s="149" t="s">
        <v>121</v>
      </c>
      <c r="B97" s="149" t="s">
        <v>126</v>
      </c>
      <c r="C97" s="155">
        <v>109021</v>
      </c>
      <c r="D97" s="148">
        <v>120150</v>
      </c>
      <c r="E97" s="148">
        <v>1000</v>
      </c>
      <c r="F97" s="148">
        <v>15000</v>
      </c>
      <c r="G97" s="148">
        <v>40000</v>
      </c>
      <c r="H97" s="148">
        <v>50000</v>
      </c>
    </row>
    <row r="98" spans="1:8" s="126" customFormat="1" x14ac:dyDescent="0.25">
      <c r="A98" s="149" t="s">
        <v>122</v>
      </c>
      <c r="B98" s="149" t="s">
        <v>127</v>
      </c>
      <c r="C98" s="155"/>
      <c r="D98" s="148"/>
      <c r="E98" s="148"/>
      <c r="F98" s="148"/>
      <c r="G98" s="148"/>
      <c r="H98" s="148"/>
    </row>
    <row r="99" spans="1:8" s="126" customFormat="1" x14ac:dyDescent="0.25">
      <c r="A99" s="149" t="s">
        <v>131</v>
      </c>
      <c r="B99" s="149"/>
      <c r="C99" s="155"/>
      <c r="D99" s="148"/>
      <c r="E99" s="148"/>
      <c r="F99" s="148"/>
      <c r="G99" s="148"/>
      <c r="H99" s="148"/>
    </row>
    <row r="100" spans="1:8" s="126" customFormat="1" x14ac:dyDescent="0.25">
      <c r="A100" s="149" t="s">
        <v>123</v>
      </c>
      <c r="B100" s="149" t="s">
        <v>128</v>
      </c>
      <c r="C100" s="155">
        <f>C97+C98</f>
        <v>109021</v>
      </c>
      <c r="D100" s="155">
        <f>D97+D98</f>
        <v>120150</v>
      </c>
      <c r="E100" s="155">
        <f>E97+E98</f>
        <v>1000</v>
      </c>
      <c r="F100" s="155">
        <f>F97+F98</f>
        <v>15000</v>
      </c>
      <c r="G100" s="155">
        <f>G97+G98</f>
        <v>40000</v>
      </c>
      <c r="H100" s="155">
        <f>H97+H98</f>
        <v>50000</v>
      </c>
    </row>
    <row r="101" spans="1:8" x14ac:dyDescent="0.25">
      <c r="A101" s="135"/>
      <c r="B101" s="135"/>
      <c r="C101" s="153"/>
      <c r="D101" s="134"/>
      <c r="E101" s="134"/>
      <c r="F101" s="134"/>
      <c r="G101" s="134"/>
      <c r="H101" s="134"/>
    </row>
    <row r="102" spans="1:8" x14ac:dyDescent="0.25">
      <c r="A102" s="133" t="s">
        <v>11</v>
      </c>
      <c r="B102" s="133"/>
      <c r="C102" s="132">
        <f>C82+C95</f>
        <v>-71464</v>
      </c>
      <c r="D102" s="132">
        <f>D82+D95</f>
        <v>8687</v>
      </c>
      <c r="E102" s="132">
        <f>E82+E95</f>
        <v>125418</v>
      </c>
      <c r="F102" s="132">
        <f>F82+F95</f>
        <v>86549</v>
      </c>
      <c r="G102" s="132">
        <f>G82+G95</f>
        <v>36679</v>
      </c>
      <c r="H102" s="132">
        <f>H82+H95</f>
        <v>1809</v>
      </c>
    </row>
    <row r="103" spans="1:8" x14ac:dyDescent="0.25">
      <c r="A103" s="131" t="s">
        <v>3</v>
      </c>
      <c r="B103" s="131"/>
      <c r="C103" s="130">
        <f>C102/C16</f>
        <v>-6.7644263716458999E-2</v>
      </c>
      <c r="D103" s="130">
        <f>D102/D16</f>
        <v>5.1734939873839883E-3</v>
      </c>
      <c r="E103" s="130">
        <f>E102/E16</f>
        <v>2.7469417828291279E-2</v>
      </c>
      <c r="F103" s="130">
        <f>F102/F16</f>
        <v>1.6329553248071515E-2</v>
      </c>
      <c r="G103" s="130">
        <f>G102/G16</f>
        <v>6.5741222017098918E-3</v>
      </c>
      <c r="H103" s="130">
        <f>H102/H16</f>
        <v>5.3270198283515832E-4</v>
      </c>
    </row>
    <row r="104" spans="1:8" x14ac:dyDescent="0.25">
      <c r="A104" s="129"/>
      <c r="B104" s="129"/>
      <c r="C104" s="128"/>
      <c r="D104" s="128"/>
      <c r="E104" s="128"/>
      <c r="F104" s="128"/>
      <c r="G104" s="128"/>
      <c r="H104" s="128"/>
    </row>
    <row r="105" spans="1:8" ht="15" customHeight="1" x14ac:dyDescent="0.25">
      <c r="A105" s="152" t="s">
        <v>139</v>
      </c>
      <c r="B105" s="152"/>
      <c r="C105" s="152"/>
      <c r="D105" s="152"/>
      <c r="E105" s="152"/>
      <c r="F105" s="152"/>
      <c r="G105" s="152"/>
      <c r="H105" s="152"/>
    </row>
    <row r="106" spans="1:8" s="126" customFormat="1" x14ac:dyDescent="0.25">
      <c r="A106" s="126" t="s">
        <v>154</v>
      </c>
      <c r="B106" s="127"/>
      <c r="C106" s="127"/>
      <c r="D106" s="127"/>
      <c r="E106" s="127"/>
      <c r="F106" s="127"/>
      <c r="G106" s="127"/>
      <c r="H106" s="127"/>
    </row>
    <row r="107" spans="1:8" x14ac:dyDescent="0.25">
      <c r="A107" s="121" t="s">
        <v>153</v>
      </c>
    </row>
    <row r="108" spans="1:8" ht="30" customHeight="1" x14ac:dyDescent="0.25">
      <c r="A108" s="125" t="s">
        <v>228</v>
      </c>
      <c r="B108" s="125"/>
      <c r="C108" s="125"/>
      <c r="D108" s="125"/>
      <c r="E108" s="125"/>
      <c r="F108" s="125"/>
      <c r="G108" s="125"/>
      <c r="H108" s="125"/>
    </row>
    <row r="109" spans="1:8" ht="45.75" customHeight="1" x14ac:dyDescent="0.25">
      <c r="A109" s="125" t="s">
        <v>227</v>
      </c>
      <c r="B109" s="125"/>
      <c r="C109" s="125"/>
      <c r="D109" s="125"/>
      <c r="E109" s="125"/>
      <c r="F109" s="125"/>
      <c r="G109" s="125"/>
      <c r="H109" s="125"/>
    </row>
    <row r="110" spans="1:8" ht="30" customHeight="1" x14ac:dyDescent="0.25">
      <c r="A110" s="125" t="s">
        <v>226</v>
      </c>
      <c r="B110" s="125"/>
      <c r="C110" s="125"/>
      <c r="D110" s="125"/>
      <c r="E110" s="125"/>
      <c r="F110" s="125"/>
      <c r="G110" s="125"/>
      <c r="H110" s="125"/>
    </row>
    <row r="111" spans="1:8" ht="30" customHeight="1" x14ac:dyDescent="0.25">
      <c r="A111" s="125" t="s">
        <v>225</v>
      </c>
      <c r="B111" s="125"/>
      <c r="C111" s="125"/>
      <c r="D111" s="125"/>
      <c r="E111" s="125"/>
      <c r="F111" s="125"/>
      <c r="G111" s="125"/>
      <c r="H111" s="125"/>
    </row>
    <row r="112" spans="1:8" ht="15" customHeight="1" x14ac:dyDescent="0.25">
      <c r="A112" s="125" t="s">
        <v>224</v>
      </c>
      <c r="B112" s="125"/>
      <c r="C112" s="125"/>
      <c r="D112" s="125"/>
      <c r="E112" s="125"/>
      <c r="F112" s="125"/>
      <c r="G112" s="125"/>
      <c r="H112" s="125"/>
    </row>
    <row r="113" spans="1:8" ht="15" customHeight="1" x14ac:dyDescent="0.25">
      <c r="A113" s="125" t="s">
        <v>223</v>
      </c>
      <c r="B113" s="125"/>
      <c r="C113" s="125"/>
      <c r="D113" s="125"/>
      <c r="E113" s="125"/>
      <c r="F113" s="125"/>
      <c r="G113" s="125"/>
      <c r="H113" s="125"/>
    </row>
    <row r="114" spans="1:8" ht="15" customHeight="1" x14ac:dyDescent="0.25">
      <c r="A114" s="125" t="s">
        <v>222</v>
      </c>
      <c r="B114" s="125"/>
      <c r="C114" s="125"/>
      <c r="D114" s="125"/>
      <c r="E114" s="125"/>
      <c r="F114" s="125"/>
      <c r="G114" s="125"/>
      <c r="H114" s="125"/>
    </row>
    <row r="115" spans="1:8" ht="30" customHeight="1" x14ac:dyDescent="0.25">
      <c r="A115" s="125" t="s">
        <v>221</v>
      </c>
      <c r="B115" s="125"/>
      <c r="C115" s="125"/>
      <c r="D115" s="125"/>
      <c r="E115" s="125"/>
      <c r="F115" s="125"/>
      <c r="G115" s="125"/>
      <c r="H115" s="125"/>
    </row>
    <row r="116" spans="1:8" ht="30" customHeight="1" x14ac:dyDescent="0.25">
      <c r="A116" s="125" t="s">
        <v>220</v>
      </c>
      <c r="B116" s="125"/>
      <c r="C116" s="125"/>
      <c r="D116" s="125"/>
      <c r="E116" s="125"/>
      <c r="F116" s="125"/>
      <c r="G116" s="125"/>
      <c r="H116" s="125"/>
    </row>
    <row r="117" spans="1:8" ht="30" customHeight="1" x14ac:dyDescent="0.25">
      <c r="A117" s="125" t="s">
        <v>219</v>
      </c>
      <c r="B117" s="125"/>
      <c r="C117" s="125"/>
      <c r="D117" s="125"/>
      <c r="E117" s="125"/>
      <c r="F117" s="125"/>
      <c r="G117" s="125"/>
      <c r="H117" s="125"/>
    </row>
    <row r="118" spans="1:8" ht="30" customHeight="1" x14ac:dyDescent="0.25">
      <c r="A118" s="125" t="s">
        <v>218</v>
      </c>
      <c r="B118" s="125"/>
      <c r="C118" s="125"/>
      <c r="D118" s="125"/>
      <c r="E118" s="125"/>
      <c r="F118" s="125"/>
      <c r="G118" s="125"/>
      <c r="H118" s="125"/>
    </row>
    <row r="119" spans="1:8" ht="15" customHeight="1" x14ac:dyDescent="0.25">
      <c r="A119" s="125" t="s">
        <v>217</v>
      </c>
      <c r="B119" s="125"/>
      <c r="C119" s="125"/>
      <c r="D119" s="125"/>
      <c r="E119" s="125"/>
      <c r="F119" s="125"/>
      <c r="G119" s="125"/>
      <c r="H119" s="125"/>
    </row>
    <row r="120" spans="1:8" ht="15" customHeight="1" x14ac:dyDescent="0.25">
      <c r="A120" s="125" t="s">
        <v>216</v>
      </c>
      <c r="B120" s="125"/>
      <c r="C120" s="125"/>
      <c r="D120" s="125"/>
      <c r="E120" s="125"/>
      <c r="F120" s="125"/>
      <c r="G120" s="125"/>
      <c r="H120" s="125"/>
    </row>
    <row r="121" spans="1:8" x14ac:dyDescent="0.25">
      <c r="B121" s="122"/>
    </row>
    <row r="122" spans="1:8" x14ac:dyDescent="0.25">
      <c r="B122" s="122"/>
    </row>
    <row r="123" spans="1:8" x14ac:dyDescent="0.25">
      <c r="A123" s="124" t="s">
        <v>158</v>
      </c>
      <c r="B123" s="122" t="s">
        <v>241</v>
      </c>
    </row>
    <row r="124" spans="1:8" x14ac:dyDescent="0.25">
      <c r="B124" s="122" t="s">
        <v>240</v>
      </c>
    </row>
    <row r="126" spans="1:8" x14ac:dyDescent="0.25">
      <c r="A126" s="123"/>
      <c r="B126" s="123"/>
    </row>
    <row r="129" spans="1:1" x14ac:dyDescent="0.25">
      <c r="A129" s="122"/>
    </row>
    <row r="130" spans="1:1" x14ac:dyDescent="0.25">
      <c r="A130" s="122"/>
    </row>
    <row r="131" spans="1:1" x14ac:dyDescent="0.25">
      <c r="A131" s="122"/>
    </row>
    <row r="132" spans="1:1" x14ac:dyDescent="0.25">
      <c r="A132" s="122"/>
    </row>
    <row r="133" spans="1:1" x14ac:dyDescent="0.25">
      <c r="A133" s="122"/>
    </row>
    <row r="134" spans="1:1" x14ac:dyDescent="0.25">
      <c r="A134" s="122"/>
    </row>
    <row r="135" spans="1:1" x14ac:dyDescent="0.25">
      <c r="A135" s="122"/>
    </row>
    <row r="136" spans="1:1" x14ac:dyDescent="0.25">
      <c r="A136" s="122"/>
    </row>
  </sheetData>
  <sheetProtection selectLockedCells="1" selectUnlockedCells="1"/>
  <mergeCells count="14">
    <mergeCell ref="A111:H111"/>
    <mergeCell ref="A112:H112"/>
    <mergeCell ref="A113:H113"/>
    <mergeCell ref="A114:H114"/>
    <mergeCell ref="A105:H105"/>
    <mergeCell ref="A108:H108"/>
    <mergeCell ref="A109:H109"/>
    <mergeCell ref="A110:H110"/>
    <mergeCell ref="A119:H119"/>
    <mergeCell ref="A120:H120"/>
    <mergeCell ref="A115:H115"/>
    <mergeCell ref="A116:H116"/>
    <mergeCell ref="A117:H117"/>
    <mergeCell ref="A118:H118"/>
  </mergeCells>
  <hyperlinks>
    <hyperlink ref="B123" r:id="rId1"/>
    <hyperlink ref="B124" r:id="rId2"/>
  </hyperlinks>
  <pageMargins left="0.22013888888888888" right="0.15972222222222221" top="0.32013888888888886" bottom="0.19027777777777777" header="0.51180555555555551" footer="0.51180555555555551"/>
  <pageSetup paperSize="9" firstPageNumber="0" orientation="portrait" horizontalDpi="300" verticalDpi="300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zoomScaleNormal="100" zoomScaleSheetLayoutView="90"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191" t="s">
        <v>159</v>
      </c>
      <c r="B1" s="190" t="s">
        <v>361</v>
      </c>
    </row>
    <row r="2" spans="1:8" x14ac:dyDescent="0.25">
      <c r="A2" s="189"/>
    </row>
    <row r="3" spans="1:8" x14ac:dyDescent="0.25">
      <c r="A3" s="188" t="s">
        <v>140</v>
      </c>
      <c r="B3" s="188"/>
      <c r="C3" s="188"/>
    </row>
    <row r="4" spans="1:8" x14ac:dyDescent="0.25">
      <c r="A4" s="187" t="s">
        <v>157</v>
      </c>
      <c r="B4" s="187" t="s">
        <v>12</v>
      </c>
      <c r="C4" s="185">
        <v>2015</v>
      </c>
      <c r="D4" s="186">
        <v>2016</v>
      </c>
      <c r="E4" s="186">
        <v>2017</v>
      </c>
      <c r="F4" s="186">
        <v>2018</v>
      </c>
      <c r="G4" s="186">
        <v>2019</v>
      </c>
      <c r="H4" s="186">
        <v>2020</v>
      </c>
    </row>
    <row r="5" spans="1:8" x14ac:dyDescent="0.25">
      <c r="A5" s="185"/>
      <c r="B5" s="185"/>
      <c r="C5" s="185"/>
      <c r="D5" s="2"/>
      <c r="E5" s="2"/>
      <c r="F5" s="2"/>
      <c r="G5" s="2"/>
      <c r="H5" s="2"/>
    </row>
    <row r="6" spans="1:8" x14ac:dyDescent="0.25">
      <c r="A6" s="5" t="s">
        <v>49</v>
      </c>
      <c r="B6" s="5"/>
      <c r="C6" s="5"/>
      <c r="D6" s="2"/>
      <c r="E6" s="2"/>
      <c r="F6" s="2"/>
      <c r="G6" s="2"/>
      <c r="H6" s="2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650021</v>
      </c>
      <c r="D8" s="7">
        <v>517380</v>
      </c>
      <c r="E8" s="7">
        <v>606000</v>
      </c>
      <c r="F8" s="7">
        <v>625000</v>
      </c>
      <c r="G8" s="7">
        <v>641000</v>
      </c>
      <c r="H8" s="7">
        <v>660000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1888438</v>
      </c>
      <c r="D10" s="7">
        <v>2092598</v>
      </c>
      <c r="E10" s="7">
        <v>2446830</v>
      </c>
      <c r="F10" s="7">
        <v>2667000</v>
      </c>
      <c r="G10" s="7">
        <v>2907000</v>
      </c>
      <c r="H10" s="7">
        <v>3160000</v>
      </c>
    </row>
    <row r="11" spans="1:8" x14ac:dyDescent="0.25">
      <c r="A11" s="13" t="s">
        <v>16</v>
      </c>
      <c r="B11" s="13" t="s">
        <v>30</v>
      </c>
      <c r="C11" s="51">
        <v>61399</v>
      </c>
      <c r="D11" s="7"/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>
        <v>3292</v>
      </c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/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2603150</v>
      </c>
      <c r="D16" s="7">
        <f>SUM(D7:D15)</f>
        <v>2609978</v>
      </c>
      <c r="E16" s="7">
        <f>SUM(E7:E15)</f>
        <v>3052830</v>
      </c>
      <c r="F16" s="7">
        <f>SUM(F7:F15)</f>
        <v>3292000</v>
      </c>
      <c r="G16" s="7">
        <f>SUM(G7:G15)</f>
        <v>3548000</v>
      </c>
      <c r="H16" s="7">
        <f>SUM(H7:H15)</f>
        <v>3820000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2" t="s">
        <v>132</v>
      </c>
      <c r="B18" s="182"/>
      <c r="C18" s="181"/>
      <c r="D18" s="181"/>
      <c r="E18" s="181"/>
      <c r="F18" s="181"/>
      <c r="G18" s="181"/>
      <c r="H18" s="181"/>
    </row>
    <row r="19" spans="1:8" s="17" customFormat="1" x14ac:dyDescent="0.25">
      <c r="A19" s="182" t="s">
        <v>147</v>
      </c>
      <c r="B19" s="182" t="s">
        <v>115</v>
      </c>
      <c r="C19" s="181">
        <v>650021</v>
      </c>
      <c r="D19" s="181">
        <v>517380</v>
      </c>
      <c r="E19" s="181">
        <v>606000</v>
      </c>
      <c r="F19" s="181">
        <v>625000</v>
      </c>
      <c r="G19" s="181">
        <v>641000</v>
      </c>
      <c r="H19" s="181">
        <v>660000</v>
      </c>
    </row>
    <row r="20" spans="1:8" s="17" customFormat="1" x14ac:dyDescent="0.25">
      <c r="A20" s="182" t="s">
        <v>148</v>
      </c>
      <c r="B20" s="182" t="s">
        <v>117</v>
      </c>
      <c r="C20" s="181">
        <v>1949837</v>
      </c>
      <c r="D20" s="181">
        <v>2092598</v>
      </c>
      <c r="E20" s="181">
        <v>2446830</v>
      </c>
      <c r="F20" s="181">
        <v>2667000</v>
      </c>
      <c r="G20" s="181">
        <v>2907000</v>
      </c>
      <c r="H20" s="181">
        <v>3160000</v>
      </c>
    </row>
    <row r="21" spans="1:8" s="17" customFormat="1" x14ac:dyDescent="0.25">
      <c r="A21" s="182" t="s">
        <v>114</v>
      </c>
      <c r="B21" s="182" t="s">
        <v>116</v>
      </c>
      <c r="C21" s="181">
        <v>2603150</v>
      </c>
      <c r="D21" s="181">
        <v>2609978</v>
      </c>
      <c r="E21" s="181">
        <v>3052830</v>
      </c>
      <c r="F21" s="181">
        <v>3292000</v>
      </c>
      <c r="G21" s="181">
        <v>3548000</v>
      </c>
      <c r="H21" s="181">
        <v>3820000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v>-2544728</v>
      </c>
      <c r="D28" s="7">
        <v>-2543974</v>
      </c>
      <c r="E28" s="7">
        <v>-2932830</v>
      </c>
      <c r="F28" s="7">
        <v>-3199000</v>
      </c>
      <c r="G28" s="7">
        <v>-3468000</v>
      </c>
      <c r="H28" s="7">
        <v>-3760000</v>
      </c>
    </row>
    <row r="29" spans="1:8" x14ac:dyDescent="0.25">
      <c r="A29" s="2" t="s">
        <v>155</v>
      </c>
      <c r="B29" s="2" t="s">
        <v>156</v>
      </c>
      <c r="C29" s="51">
        <v>-1341909</v>
      </c>
      <c r="D29" s="7">
        <v>-1400251</v>
      </c>
      <c r="E29" s="7">
        <v>-1484000</v>
      </c>
      <c r="F29" s="7">
        <v>-1573000</v>
      </c>
      <c r="G29" s="7">
        <v>-1710000</v>
      </c>
      <c r="H29" s="7">
        <v>-1870000</v>
      </c>
    </row>
    <row r="30" spans="1:8" x14ac:dyDescent="0.25">
      <c r="A30" s="13" t="s">
        <v>41</v>
      </c>
      <c r="B30" s="13" t="s">
        <v>42</v>
      </c>
      <c r="C30" s="51">
        <v>-1518</v>
      </c>
      <c r="D30" s="7"/>
      <c r="E30" s="7"/>
      <c r="F30" s="7"/>
      <c r="G30" s="7"/>
      <c r="H30" s="7"/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>
        <v>-1439</v>
      </c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>
        <v>-17</v>
      </c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-2547702</v>
      </c>
      <c r="D34" s="7">
        <f>SUM(D24:D28)+SUM(D30:D33)</f>
        <v>-2543974</v>
      </c>
      <c r="E34" s="7">
        <f>SUM(E24:E28)+SUM(E30:E33)</f>
        <v>-2932830</v>
      </c>
      <c r="F34" s="7">
        <f>SUM(F24:F28)+SUM(F30:F33)</f>
        <v>-3199000</v>
      </c>
      <c r="G34" s="7">
        <f>SUM(G24:G28)+SUM(G30:G33)</f>
        <v>-3468000</v>
      </c>
      <c r="H34" s="7">
        <f>SUM(H24:H28)+SUM(H30:H33)</f>
        <v>-3760000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180" t="s">
        <v>150</v>
      </c>
      <c r="B36" s="180"/>
      <c r="C36" s="181"/>
      <c r="D36" s="181"/>
      <c r="E36" s="181"/>
      <c r="F36" s="181"/>
      <c r="G36" s="181"/>
      <c r="H36" s="181"/>
    </row>
    <row r="37" spans="1:8" s="17" customFormat="1" x14ac:dyDescent="0.25">
      <c r="A37" s="180" t="s">
        <v>119</v>
      </c>
      <c r="B37" s="180" t="s">
        <v>118</v>
      </c>
      <c r="C37" s="181"/>
      <c r="D37" s="181"/>
      <c r="E37" s="181"/>
      <c r="F37" s="181"/>
      <c r="G37" s="181"/>
      <c r="H37" s="181"/>
    </row>
    <row r="38" spans="1:8" s="17" customFormat="1" x14ac:dyDescent="0.25">
      <c r="A38" s="180" t="s">
        <v>133</v>
      </c>
      <c r="B38" s="180" t="s">
        <v>134</v>
      </c>
      <c r="C38" s="181">
        <v>-2544728</v>
      </c>
      <c r="D38" s="181">
        <v>-2543974</v>
      </c>
      <c r="E38" s="181">
        <v>-2932830</v>
      </c>
      <c r="F38" s="181">
        <v>-3199000</v>
      </c>
      <c r="G38" s="181">
        <v>-3468000</v>
      </c>
      <c r="H38" s="181">
        <v>-3760000</v>
      </c>
    </row>
    <row r="39" spans="1:8" s="17" customFormat="1" x14ac:dyDescent="0.25">
      <c r="A39" s="180" t="s">
        <v>136</v>
      </c>
      <c r="B39" s="180" t="s">
        <v>135</v>
      </c>
      <c r="C39" s="181">
        <v>-120254</v>
      </c>
      <c r="D39" s="181">
        <v>-123000</v>
      </c>
      <c r="E39" s="181">
        <v>-120000</v>
      </c>
      <c r="F39" s="181">
        <v>-93000</v>
      </c>
      <c r="G39" s="181">
        <v>-80000</v>
      </c>
      <c r="H39" s="181">
        <v>-60000</v>
      </c>
    </row>
    <row r="40" spans="1:8" s="17" customFormat="1" x14ac:dyDescent="0.25">
      <c r="A40" s="180" t="s">
        <v>138</v>
      </c>
      <c r="B40" s="180" t="s">
        <v>120</v>
      </c>
      <c r="C40" s="179">
        <v>-119261</v>
      </c>
      <c r="D40" s="181">
        <v>-120585</v>
      </c>
      <c r="E40" s="181">
        <v>-117500</v>
      </c>
      <c r="F40" s="181">
        <v>-90000</v>
      </c>
      <c r="G40" s="181">
        <v>-75000</v>
      </c>
      <c r="H40" s="181">
        <v>-55000</v>
      </c>
    </row>
    <row r="41" spans="1:8" s="17" customFormat="1" x14ac:dyDescent="0.25">
      <c r="A41" s="180" t="s">
        <v>113</v>
      </c>
      <c r="B41" s="180" t="s">
        <v>137</v>
      </c>
      <c r="C41" s="181">
        <f>SUM(C37:C39)</f>
        <v>-2664982</v>
      </c>
      <c r="D41" s="181">
        <f>SUM(D37:D39)</f>
        <v>-2666974</v>
      </c>
      <c r="E41" s="181">
        <f>SUM(E37:E39)</f>
        <v>-3052830</v>
      </c>
      <c r="F41" s="181">
        <f>SUM(F37:F39)</f>
        <v>-3292000</v>
      </c>
      <c r="G41" s="181">
        <f>SUM(G37:G39)</f>
        <v>-3548000</v>
      </c>
      <c r="H41" s="181">
        <f>SUM(H37:H39)</f>
        <v>-3820000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178" t="s">
        <v>2</v>
      </c>
      <c r="B43" s="178"/>
      <c r="C43" s="177">
        <f>C16+C34</f>
        <v>55448</v>
      </c>
      <c r="D43" s="177">
        <f>D16+D34</f>
        <v>66004</v>
      </c>
      <c r="E43" s="177">
        <f>E16+E34</f>
        <v>120000</v>
      </c>
      <c r="F43" s="177">
        <f>F16+F34</f>
        <v>93000</v>
      </c>
      <c r="G43" s="177">
        <f>G16+G34</f>
        <v>80000</v>
      </c>
      <c r="H43" s="177">
        <f>H16+H34</f>
        <v>60000</v>
      </c>
    </row>
    <row r="44" spans="1:8" x14ac:dyDescent="0.25">
      <c r="A44" s="176" t="s">
        <v>3</v>
      </c>
      <c r="B44" s="176"/>
      <c r="C44" s="175">
        <f>C43/C16</f>
        <v>2.1300347655724795E-2</v>
      </c>
      <c r="D44" s="175">
        <f>D43/D16</f>
        <v>2.5289102053733786E-2</v>
      </c>
      <c r="E44" s="175">
        <f>E43/E16</f>
        <v>3.9307789821247822E-2</v>
      </c>
      <c r="F44" s="175">
        <f>F43/F16</f>
        <v>2.8250303766707167E-2</v>
      </c>
      <c r="G44" s="175">
        <f>G43/G16</f>
        <v>2.2547914317925591E-2</v>
      </c>
      <c r="H44" s="175">
        <f>H43/H16</f>
        <v>1.5706806282722512E-2</v>
      </c>
    </row>
    <row r="45" spans="1:8" x14ac:dyDescent="0.25">
      <c r="A45" s="176"/>
      <c r="B45" s="176"/>
      <c r="C45" s="175"/>
      <c r="D45" s="175"/>
      <c r="E45" s="175"/>
      <c r="F45" s="175"/>
      <c r="G45" s="175"/>
      <c r="H45" s="175"/>
    </row>
    <row r="46" spans="1:8" s="17" customFormat="1" x14ac:dyDescent="0.25">
      <c r="A46" s="184" t="s">
        <v>130</v>
      </c>
      <c r="B46" s="184" t="s">
        <v>141</v>
      </c>
      <c r="C46" s="183">
        <f>C21+C41</f>
        <v>-61832</v>
      </c>
      <c r="D46" s="183">
        <f>D21+D41</f>
        <v>-56996</v>
      </c>
      <c r="E46" s="183">
        <f>E21+E41</f>
        <v>0</v>
      </c>
      <c r="F46" s="183">
        <f>F21+F41</f>
        <v>0</v>
      </c>
      <c r="G46" s="183">
        <f>G21+G41</f>
        <v>0</v>
      </c>
      <c r="H46" s="183">
        <f>H21+H41</f>
        <v>0</v>
      </c>
    </row>
    <row r="47" spans="1:8" x14ac:dyDescent="0.25">
      <c r="A47" s="176"/>
      <c r="B47" s="176"/>
      <c r="C47" s="175"/>
      <c r="D47" s="175"/>
      <c r="E47" s="175"/>
      <c r="F47" s="175"/>
      <c r="G47" s="175"/>
      <c r="H47" s="175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/>
      <c r="D49" s="7">
        <v>-530548</v>
      </c>
      <c r="E49" s="7"/>
      <c r="F49" s="7"/>
      <c r="G49" s="7"/>
      <c r="H49" s="7"/>
    </row>
    <row r="50" spans="1:8" x14ac:dyDescent="0.25">
      <c r="A50" s="2" t="s">
        <v>142</v>
      </c>
      <c r="B50" s="5"/>
      <c r="C50" s="51">
        <v>3292</v>
      </c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/>
      <c r="D51" s="7">
        <v>530548</v>
      </c>
      <c r="E51" s="7"/>
      <c r="F51" s="7"/>
      <c r="G51" s="7"/>
      <c r="H51" s="7"/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525</v>
      </c>
      <c r="D60" s="7"/>
      <c r="E60" s="7"/>
      <c r="F60" s="7"/>
      <c r="G60" s="7"/>
      <c r="H60" s="7"/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3817</v>
      </c>
      <c r="D62" s="16">
        <f>SUM(D49:D61)</f>
        <v>0</v>
      </c>
      <c r="E62" s="16">
        <f>SUM(E49:E61)</f>
        <v>0</v>
      </c>
      <c r="F62" s="16">
        <f>SUM(F49:F61)</f>
        <v>0</v>
      </c>
      <c r="G62" s="16">
        <f>SUM(G49:G61)</f>
        <v>0</v>
      </c>
      <c r="H62" s="16">
        <f>SUM(H49:H61)</f>
        <v>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178" t="s">
        <v>7</v>
      </c>
      <c r="B64" s="178"/>
      <c r="C64" s="177">
        <f>C43+C62</f>
        <v>59265</v>
      </c>
      <c r="D64" s="177">
        <f>D43+D62</f>
        <v>66004</v>
      </c>
      <c r="E64" s="177">
        <f>E43+E62</f>
        <v>120000</v>
      </c>
      <c r="F64" s="177">
        <f>F43+F62</f>
        <v>93000</v>
      </c>
      <c r="G64" s="177">
        <f>G43+G62</f>
        <v>80000</v>
      </c>
      <c r="H64" s="177">
        <f>H43+H62</f>
        <v>60000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/>
      <c r="D67" s="54"/>
      <c r="E67" s="54"/>
      <c r="F67" s="54"/>
      <c r="G67" s="54"/>
      <c r="H67" s="54"/>
    </row>
    <row r="68" spans="1:8" s="17" customFormat="1" x14ac:dyDescent="0.25">
      <c r="A68" s="24" t="s">
        <v>60</v>
      </c>
      <c r="B68" s="15" t="s">
        <v>129</v>
      </c>
      <c r="C68" s="54"/>
      <c r="D68" s="54"/>
      <c r="E68" s="54"/>
      <c r="F68" s="54"/>
      <c r="G68" s="54"/>
      <c r="H68" s="54"/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>
        <v>39363</v>
      </c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39363</v>
      </c>
      <c r="D82" s="7">
        <f>SUM(D67:D81)</f>
        <v>0</v>
      </c>
      <c r="E82" s="7">
        <f>SUM(E67:E81)</f>
        <v>0</v>
      </c>
      <c r="F82" s="7">
        <f>SUM(F67:F81)</f>
        <v>0</v>
      </c>
      <c r="G82" s="7">
        <f>SUM(G67:G81)</f>
        <v>0</v>
      </c>
      <c r="H82" s="7">
        <f>SUM(H67:H81)</f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180" t="s">
        <v>125</v>
      </c>
      <c r="B84" s="182" t="s">
        <v>124</v>
      </c>
      <c r="C84" s="179">
        <v>202237</v>
      </c>
      <c r="D84" s="181">
        <v>150000</v>
      </c>
      <c r="E84" s="181">
        <v>160000</v>
      </c>
      <c r="F84" s="181">
        <v>180000</v>
      </c>
      <c r="G84" s="181">
        <v>190000</v>
      </c>
      <c r="H84" s="181">
        <v>200000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-25367</v>
      </c>
      <c r="D87" s="16">
        <v>-30000</v>
      </c>
      <c r="E87" s="16">
        <v>-35000</v>
      </c>
      <c r="F87" s="16">
        <v>-35000</v>
      </c>
      <c r="G87" s="16">
        <v>-35000</v>
      </c>
      <c r="H87" s="16">
        <v>-35000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-25367</v>
      </c>
      <c r="D95" s="7">
        <f>SUM(D87:D94)</f>
        <v>-30000</v>
      </c>
      <c r="E95" s="7">
        <f>SUM(E87:E94)</f>
        <v>-35000</v>
      </c>
      <c r="F95" s="7">
        <f>SUM(F87:F94)</f>
        <v>-35000</v>
      </c>
      <c r="G95" s="7">
        <f>SUM(G87:G94)</f>
        <v>-35000</v>
      </c>
      <c r="H95" s="7">
        <f>SUM(H87:H94)</f>
        <v>-35000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180" t="s">
        <v>121</v>
      </c>
      <c r="B97" s="180" t="s">
        <v>126</v>
      </c>
      <c r="C97" s="179">
        <v>91706</v>
      </c>
      <c r="D97" s="181">
        <v>85000</v>
      </c>
      <c r="E97" s="181">
        <v>90000</v>
      </c>
      <c r="F97" s="181">
        <v>95000</v>
      </c>
      <c r="G97" s="181">
        <v>95000</v>
      </c>
      <c r="H97" s="181">
        <v>95000</v>
      </c>
    </row>
    <row r="98" spans="1:8" s="17" customFormat="1" x14ac:dyDescent="0.25">
      <c r="A98" s="180" t="s">
        <v>122</v>
      </c>
      <c r="B98" s="180" t="s">
        <v>127</v>
      </c>
      <c r="C98" s="179">
        <v>247537</v>
      </c>
      <c r="D98" s="181">
        <v>657500</v>
      </c>
      <c r="E98" s="181">
        <v>540000</v>
      </c>
      <c r="F98" s="181">
        <v>450000</v>
      </c>
      <c r="G98" s="181">
        <v>375000</v>
      </c>
      <c r="H98" s="181">
        <v>320000</v>
      </c>
    </row>
    <row r="99" spans="1:8" s="17" customFormat="1" x14ac:dyDescent="0.25">
      <c r="A99" s="180" t="s">
        <v>131</v>
      </c>
      <c r="B99" s="180"/>
      <c r="C99" s="179">
        <v>137003</v>
      </c>
      <c r="D99" s="181">
        <v>82422</v>
      </c>
      <c r="E99" s="181">
        <v>82422</v>
      </c>
      <c r="F99" s="181">
        <v>82422</v>
      </c>
      <c r="G99" s="181">
        <v>82422</v>
      </c>
      <c r="H99" s="181">
        <v>82422</v>
      </c>
    </row>
    <row r="100" spans="1:8" s="17" customFormat="1" x14ac:dyDescent="0.25">
      <c r="A100" s="180" t="s">
        <v>123</v>
      </c>
      <c r="B100" s="180" t="s">
        <v>128</v>
      </c>
      <c r="C100" s="179">
        <f>C97+C98</f>
        <v>339243</v>
      </c>
      <c r="D100" s="179">
        <f>D97+D98</f>
        <v>742500</v>
      </c>
      <c r="E100" s="179">
        <f>E97+E98</f>
        <v>630000</v>
      </c>
      <c r="F100" s="179">
        <f>F97+F98</f>
        <v>545000</v>
      </c>
      <c r="G100" s="179">
        <f>G97+G98</f>
        <v>470000</v>
      </c>
      <c r="H100" s="179">
        <f>H97+H98</f>
        <v>415000</v>
      </c>
    </row>
    <row r="101" spans="1:8" x14ac:dyDescent="0.25">
      <c r="A101" s="5"/>
      <c r="B101" s="5"/>
      <c r="C101" s="5"/>
      <c r="D101" s="7"/>
      <c r="E101" s="7"/>
      <c r="F101" s="7"/>
      <c r="G101" s="7"/>
      <c r="H101" s="7"/>
    </row>
    <row r="102" spans="1:8" x14ac:dyDescent="0.25">
      <c r="A102" s="178" t="s">
        <v>11</v>
      </c>
      <c r="B102" s="178"/>
      <c r="C102" s="177">
        <f>C82+C95</f>
        <v>13996</v>
      </c>
      <c r="D102" s="177">
        <f>D82+D95</f>
        <v>-30000</v>
      </c>
      <c r="E102" s="177">
        <f>E82+E95</f>
        <v>-35000</v>
      </c>
      <c r="F102" s="177">
        <f>F82+F95</f>
        <v>-35000</v>
      </c>
      <c r="G102" s="177">
        <f>G82+G95</f>
        <v>-35000</v>
      </c>
      <c r="H102" s="177">
        <f>H82+H95</f>
        <v>-35000</v>
      </c>
    </row>
    <row r="103" spans="1:8" x14ac:dyDescent="0.25">
      <c r="A103" s="176" t="s">
        <v>3</v>
      </c>
      <c r="B103" s="176"/>
      <c r="C103" s="175">
        <f>C102/C16</f>
        <v>5.3765630101991818E-3</v>
      </c>
      <c r="D103" s="175">
        <f>D102/D16</f>
        <v>-1.1494349760802582E-2</v>
      </c>
      <c r="E103" s="175">
        <f>E102/E16</f>
        <v>-1.1464772031197282E-2</v>
      </c>
      <c r="F103" s="175">
        <f>F102/F16</f>
        <v>-1.06318347509113E-2</v>
      </c>
      <c r="G103" s="175">
        <f>G102/G16</f>
        <v>-9.8647125140924469E-3</v>
      </c>
      <c r="H103" s="175">
        <f>H102/H16</f>
        <v>-9.1623036649214652E-3</v>
      </c>
    </row>
    <row r="104" spans="1:8" x14ac:dyDescent="0.25">
      <c r="A104" s="174"/>
      <c r="B104" s="174"/>
      <c r="C104" s="173"/>
      <c r="D104" s="173"/>
      <c r="E104" s="173"/>
      <c r="F104" s="173"/>
      <c r="G104" s="173"/>
      <c r="H104" s="173"/>
    </row>
    <row r="105" spans="1:8" x14ac:dyDescent="0.25">
      <c r="A105" s="172" t="s">
        <v>139</v>
      </c>
      <c r="B105" s="172"/>
      <c r="C105" s="172"/>
      <c r="D105" s="172"/>
      <c r="E105" s="172"/>
      <c r="F105" s="172"/>
      <c r="G105" s="172"/>
      <c r="H105" s="172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256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255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254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253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252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251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250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249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248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247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246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245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244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171" t="s">
        <v>158</v>
      </c>
      <c r="B122" s="32" t="s">
        <v>243</v>
      </c>
    </row>
    <row r="123" spans="1:8" x14ac:dyDescent="0.25">
      <c r="A123" s="12"/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6:H116"/>
    <mergeCell ref="A115:H115"/>
    <mergeCell ref="A114:H114"/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</mergeCells>
  <pageMargins left="0.22" right="0.16" top="0.32" bottom="0.19" header="0.31496062992125984" footer="0.17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workbookViewId="0">
      <selection activeCell="H1" sqref="H1"/>
    </sheetView>
  </sheetViews>
  <sheetFormatPr defaultColWidth="8.85546875"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0" width="8.85546875" style="32"/>
    <col min="11" max="12" width="9.42578125" style="32" bestFit="1" customWidth="1"/>
    <col min="13" max="16384" width="8.85546875" style="32"/>
  </cols>
  <sheetData>
    <row r="1" spans="1:8" ht="30" x14ac:dyDescent="0.25">
      <c r="A1" s="34" t="s">
        <v>159</v>
      </c>
      <c r="B1" s="31" t="s">
        <v>260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217" t="s">
        <v>157</v>
      </c>
      <c r="B4" s="217" t="s">
        <v>12</v>
      </c>
      <c r="C4" s="215">
        <v>2015</v>
      </c>
      <c r="D4" s="216">
        <v>2016</v>
      </c>
      <c r="E4" s="216">
        <v>2017</v>
      </c>
      <c r="F4" s="216">
        <v>2018</v>
      </c>
      <c r="G4" s="216">
        <v>2019</v>
      </c>
      <c r="H4" s="216">
        <v>2020</v>
      </c>
    </row>
    <row r="5" spans="1:8" x14ac:dyDescent="0.25">
      <c r="A5" s="215"/>
      <c r="B5" s="215"/>
      <c r="C5" s="214"/>
      <c r="D5" s="196"/>
      <c r="E5" s="196"/>
      <c r="F5" s="196"/>
      <c r="G5" s="196"/>
      <c r="H5" s="196"/>
    </row>
    <row r="6" spans="1:8" x14ac:dyDescent="0.25">
      <c r="A6" s="198" t="s">
        <v>49</v>
      </c>
      <c r="B6" s="198"/>
      <c r="C6" s="197"/>
      <c r="D6" s="196"/>
      <c r="E6" s="196"/>
      <c r="F6" s="196"/>
      <c r="G6" s="196"/>
      <c r="H6" s="196"/>
    </row>
    <row r="7" spans="1:8" x14ac:dyDescent="0.25">
      <c r="A7" s="203" t="s">
        <v>13</v>
      </c>
      <c r="B7" s="203" t="s">
        <v>25</v>
      </c>
      <c r="C7" s="197">
        <v>0</v>
      </c>
      <c r="D7" s="196">
        <v>0</v>
      </c>
      <c r="E7" s="196">
        <v>0</v>
      </c>
      <c r="F7" s="196">
        <v>0</v>
      </c>
      <c r="G7" s="196">
        <v>0</v>
      </c>
      <c r="H7" s="196">
        <v>0</v>
      </c>
    </row>
    <row r="8" spans="1:8" x14ac:dyDescent="0.25">
      <c r="A8" s="203" t="s">
        <v>26</v>
      </c>
      <c r="B8" s="203" t="s">
        <v>27</v>
      </c>
      <c r="C8" s="197">
        <v>44135.75</v>
      </c>
      <c r="D8" s="196">
        <v>105000</v>
      </c>
      <c r="E8" s="196">
        <v>110000</v>
      </c>
      <c r="F8" s="196">
        <v>110000</v>
      </c>
      <c r="G8" s="196">
        <v>115000</v>
      </c>
      <c r="H8" s="196">
        <v>115000</v>
      </c>
    </row>
    <row r="9" spans="1:8" x14ac:dyDescent="0.25">
      <c r="A9" s="203" t="s">
        <v>28</v>
      </c>
      <c r="B9" s="203" t="s">
        <v>14</v>
      </c>
      <c r="C9" s="197">
        <v>0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</row>
    <row r="10" spans="1:8" x14ac:dyDescent="0.25">
      <c r="A10" s="203" t="s">
        <v>15</v>
      </c>
      <c r="B10" s="203" t="s">
        <v>29</v>
      </c>
      <c r="C10" s="197">
        <v>191034</v>
      </c>
      <c r="D10" s="196">
        <v>671449</v>
      </c>
      <c r="E10" s="196">
        <v>671449</v>
      </c>
      <c r="F10" s="196">
        <v>683095</v>
      </c>
      <c r="G10" s="196">
        <v>695323</v>
      </c>
      <c r="H10" s="196">
        <v>708163</v>
      </c>
    </row>
    <row r="11" spans="1:8" x14ac:dyDescent="0.25">
      <c r="A11" s="203" t="s">
        <v>16</v>
      </c>
      <c r="B11" s="203" t="s">
        <v>30</v>
      </c>
      <c r="C11" s="197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</row>
    <row r="12" spans="1:8" x14ac:dyDescent="0.25">
      <c r="A12" s="203" t="s">
        <v>31</v>
      </c>
      <c r="B12" s="203" t="s">
        <v>32</v>
      </c>
      <c r="C12" s="197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</row>
    <row r="13" spans="1:8" x14ac:dyDescent="0.25">
      <c r="A13" s="203" t="s">
        <v>17</v>
      </c>
      <c r="B13" s="203" t="s">
        <v>33</v>
      </c>
      <c r="C13" s="197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</row>
    <row r="14" spans="1:8" x14ac:dyDescent="0.25">
      <c r="A14" s="203" t="s">
        <v>18</v>
      </c>
      <c r="B14" s="203" t="s">
        <v>34</v>
      </c>
      <c r="C14" s="197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</row>
    <row r="15" spans="1:8" x14ac:dyDescent="0.25">
      <c r="A15" s="203" t="s">
        <v>35</v>
      </c>
      <c r="B15" s="203" t="s">
        <v>36</v>
      </c>
      <c r="C15" s="197">
        <v>703.38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</row>
    <row r="16" spans="1:8" x14ac:dyDescent="0.25">
      <c r="A16" s="198" t="s">
        <v>0</v>
      </c>
      <c r="B16" s="198"/>
      <c r="C16" s="196">
        <f>SUM(C7:C15)</f>
        <v>235873.13</v>
      </c>
      <c r="D16" s="196">
        <f>SUM(D7:D15)</f>
        <v>776449</v>
      </c>
      <c r="E16" s="196">
        <f>SUM(E7:E15)</f>
        <v>781449</v>
      </c>
      <c r="F16" s="196">
        <f>SUM(F7:F15)</f>
        <v>793095</v>
      </c>
      <c r="G16" s="196">
        <f>SUM(G7:G15)</f>
        <v>810323</v>
      </c>
      <c r="H16" s="196">
        <f>SUM(H7:H15)</f>
        <v>823163</v>
      </c>
    </row>
    <row r="17" spans="1:13" x14ac:dyDescent="0.25">
      <c r="A17" s="203"/>
      <c r="B17" s="203"/>
      <c r="C17" s="196"/>
      <c r="D17" s="196"/>
      <c r="E17" s="196"/>
      <c r="F17" s="196"/>
      <c r="G17" s="196"/>
      <c r="H17" s="196"/>
    </row>
    <row r="18" spans="1:13" s="17" customFormat="1" x14ac:dyDescent="0.25">
      <c r="A18" s="207" t="s">
        <v>132</v>
      </c>
      <c r="B18" s="207"/>
      <c r="C18" s="201"/>
      <c r="D18" s="201"/>
      <c r="E18" s="201"/>
      <c r="F18" s="201"/>
      <c r="G18" s="201"/>
      <c r="H18" s="201"/>
    </row>
    <row r="19" spans="1:13" s="17" customFormat="1" x14ac:dyDescent="0.25">
      <c r="A19" s="207" t="s">
        <v>147</v>
      </c>
      <c r="B19" s="207" t="s">
        <v>115</v>
      </c>
      <c r="C19" s="201">
        <v>44135.75</v>
      </c>
      <c r="D19" s="201">
        <v>105000</v>
      </c>
      <c r="E19" s="201">
        <v>110000</v>
      </c>
      <c r="F19" s="201">
        <v>110000</v>
      </c>
      <c r="G19" s="201">
        <v>115000</v>
      </c>
      <c r="H19" s="201">
        <v>115000</v>
      </c>
    </row>
    <row r="20" spans="1:13" s="17" customFormat="1" x14ac:dyDescent="0.25">
      <c r="A20" s="207" t="s">
        <v>148</v>
      </c>
      <c r="B20" s="207" t="s">
        <v>117</v>
      </c>
      <c r="C20" s="201">
        <v>191034</v>
      </c>
      <c r="D20" s="201">
        <v>671449</v>
      </c>
      <c r="E20" s="201">
        <v>671449</v>
      </c>
      <c r="F20" s="201">
        <v>683095</v>
      </c>
      <c r="G20" s="201">
        <v>695323</v>
      </c>
      <c r="H20" s="201">
        <v>708163</v>
      </c>
    </row>
    <row r="21" spans="1:13" s="17" customFormat="1" x14ac:dyDescent="0.25">
      <c r="A21" s="207" t="s">
        <v>114</v>
      </c>
      <c r="B21" s="207" t="s">
        <v>116</v>
      </c>
      <c r="C21" s="201">
        <f>SUM(C19:C20)</f>
        <v>235169.75</v>
      </c>
      <c r="D21" s="201">
        <f>SUM(D19:D20)</f>
        <v>776449</v>
      </c>
      <c r="E21" s="201">
        <f>SUM(E19:E20)</f>
        <v>781449</v>
      </c>
      <c r="F21" s="201">
        <f>SUM(F19:F20)</f>
        <v>793095</v>
      </c>
      <c r="G21" s="201">
        <f>SUM(G19:G20)</f>
        <v>810323</v>
      </c>
      <c r="H21" s="201">
        <f>SUM(H19:H20)</f>
        <v>823163</v>
      </c>
    </row>
    <row r="22" spans="1:13" x14ac:dyDescent="0.25">
      <c r="A22" s="203"/>
      <c r="B22" s="203"/>
      <c r="C22" s="197"/>
      <c r="D22" s="196"/>
      <c r="E22" s="196"/>
      <c r="F22" s="196"/>
      <c r="G22" s="196"/>
      <c r="H22" s="196"/>
    </row>
    <row r="23" spans="1:13" x14ac:dyDescent="0.25">
      <c r="A23" s="202" t="s">
        <v>149</v>
      </c>
      <c r="B23" s="203"/>
      <c r="C23" s="197"/>
      <c r="D23" s="196"/>
      <c r="E23" s="196"/>
      <c r="F23" s="196"/>
      <c r="G23" s="196"/>
      <c r="H23" s="196"/>
    </row>
    <row r="24" spans="1:13" x14ac:dyDescent="0.25">
      <c r="A24" s="203" t="s">
        <v>19</v>
      </c>
      <c r="B24" s="203" t="s">
        <v>37</v>
      </c>
      <c r="C24" s="197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</row>
    <row r="25" spans="1:13" x14ac:dyDescent="0.25">
      <c r="A25" s="203" t="s">
        <v>23</v>
      </c>
      <c r="B25" s="203" t="s">
        <v>24</v>
      </c>
      <c r="C25" s="197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</row>
    <row r="26" spans="1:13" x14ac:dyDescent="0.25">
      <c r="A26" s="203" t="s">
        <v>20</v>
      </c>
      <c r="B26" s="203" t="s">
        <v>38</v>
      </c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</row>
    <row r="27" spans="1:13" x14ac:dyDescent="0.25">
      <c r="A27" s="203" t="s">
        <v>21</v>
      </c>
      <c r="B27" s="203" t="s">
        <v>39</v>
      </c>
      <c r="C27" s="197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</row>
    <row r="28" spans="1:13" x14ac:dyDescent="0.25">
      <c r="A28" s="203" t="s">
        <v>22</v>
      </c>
      <c r="B28" s="203" t="s">
        <v>40</v>
      </c>
      <c r="C28" s="197">
        <v>-214749.05</v>
      </c>
      <c r="D28" s="196">
        <v>-703879.17</v>
      </c>
      <c r="E28" s="196">
        <v>-708879</v>
      </c>
      <c r="F28" s="196">
        <v>-720525</v>
      </c>
      <c r="G28" s="196">
        <v>-737753</v>
      </c>
      <c r="H28" s="196">
        <v>-750593</v>
      </c>
      <c r="K28" s="117"/>
      <c r="L28" s="117"/>
      <c r="M28" s="117"/>
    </row>
    <row r="29" spans="1:13" x14ac:dyDescent="0.25">
      <c r="A29" s="202" t="s">
        <v>155</v>
      </c>
      <c r="B29" s="202" t="s">
        <v>156</v>
      </c>
      <c r="C29" s="197">
        <v>-103495.82</v>
      </c>
      <c r="D29" s="196">
        <v>-283030</v>
      </c>
      <c r="E29" s="196">
        <v>-288030</v>
      </c>
      <c r="F29" s="196">
        <v>-299676</v>
      </c>
      <c r="G29" s="196">
        <v>-316904</v>
      </c>
      <c r="H29" s="196">
        <v>-329744</v>
      </c>
    </row>
    <row r="30" spans="1:13" x14ac:dyDescent="0.25">
      <c r="A30" s="203" t="s">
        <v>41</v>
      </c>
      <c r="B30" s="203" t="s">
        <v>42</v>
      </c>
      <c r="C30" s="197">
        <v>-18274.07</v>
      </c>
      <c r="D30" s="196">
        <v>-72569.83</v>
      </c>
      <c r="E30" s="196">
        <v>-72570</v>
      </c>
      <c r="F30" s="196">
        <v>-72570</v>
      </c>
      <c r="G30" s="196">
        <v>-72570</v>
      </c>
      <c r="H30" s="196">
        <v>-72570</v>
      </c>
    </row>
    <row r="31" spans="1:13" x14ac:dyDescent="0.25">
      <c r="A31" s="203" t="s">
        <v>43</v>
      </c>
      <c r="B31" s="203" t="s">
        <v>44</v>
      </c>
      <c r="C31" s="197">
        <v>0</v>
      </c>
      <c r="D31" s="196">
        <v>0</v>
      </c>
      <c r="E31" s="196">
        <v>0</v>
      </c>
      <c r="F31" s="196">
        <v>0</v>
      </c>
      <c r="G31" s="196"/>
      <c r="H31" s="196"/>
    </row>
    <row r="32" spans="1:13" x14ac:dyDescent="0.25">
      <c r="A32" s="203" t="s">
        <v>45</v>
      </c>
      <c r="B32" s="203" t="s">
        <v>46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</row>
    <row r="33" spans="1:8" x14ac:dyDescent="0.25">
      <c r="A33" s="203" t="s">
        <v>47</v>
      </c>
      <c r="B33" s="203" t="s">
        <v>48</v>
      </c>
      <c r="C33" s="197">
        <v>0</v>
      </c>
      <c r="D33" s="197">
        <v>0</v>
      </c>
      <c r="E33" s="197">
        <v>0</v>
      </c>
      <c r="F33" s="197">
        <v>0</v>
      </c>
      <c r="G33" s="197">
        <v>0</v>
      </c>
      <c r="H33" s="197">
        <v>0</v>
      </c>
    </row>
    <row r="34" spans="1:8" x14ac:dyDescent="0.25">
      <c r="A34" s="198" t="s">
        <v>1</v>
      </c>
      <c r="B34" s="198"/>
      <c r="C34" s="196">
        <f>SUM(C24:C28)+SUM(C30:C33)</f>
        <v>-233023.12</v>
      </c>
      <c r="D34" s="196">
        <f>SUM(D24:D28)+SUM(D30:D33)</f>
        <v>-776449</v>
      </c>
      <c r="E34" s="196">
        <f>SUM(E24:E28)+SUM(E30:E33)</f>
        <v>-781449</v>
      </c>
      <c r="F34" s="196">
        <f>SUM(F24:F28)+SUM(F30:F33)</f>
        <v>-793095</v>
      </c>
      <c r="G34" s="196">
        <f>SUM(G24:G28)+SUM(G30:G33)</f>
        <v>-810323</v>
      </c>
      <c r="H34" s="196">
        <f>SUM(H24:H28)+SUM(H30:H33)</f>
        <v>-823163</v>
      </c>
    </row>
    <row r="35" spans="1:8" x14ac:dyDescent="0.25">
      <c r="A35" s="198"/>
      <c r="B35" s="198"/>
      <c r="C35" s="196"/>
      <c r="D35" s="196"/>
      <c r="E35" s="196"/>
      <c r="F35" s="196"/>
      <c r="G35" s="196"/>
      <c r="H35" s="196"/>
    </row>
    <row r="36" spans="1:8" s="17" customFormat="1" x14ac:dyDescent="0.25">
      <c r="A36" s="200" t="s">
        <v>150</v>
      </c>
      <c r="B36" s="200"/>
      <c r="C36" s="201"/>
      <c r="D36" s="201"/>
      <c r="E36" s="201"/>
      <c r="F36" s="201"/>
      <c r="G36" s="201"/>
      <c r="H36" s="201"/>
    </row>
    <row r="37" spans="1:8" s="17" customFormat="1" x14ac:dyDescent="0.25">
      <c r="A37" s="200" t="s">
        <v>119</v>
      </c>
      <c r="B37" s="200" t="s">
        <v>118</v>
      </c>
      <c r="C37" s="201">
        <v>0</v>
      </c>
      <c r="D37" s="201">
        <v>0</v>
      </c>
      <c r="E37" s="201">
        <v>0</v>
      </c>
      <c r="F37" s="201">
        <v>0</v>
      </c>
      <c r="G37" s="201">
        <v>0</v>
      </c>
      <c r="H37" s="201">
        <v>0</v>
      </c>
    </row>
    <row r="38" spans="1:8" s="17" customFormat="1" x14ac:dyDescent="0.25">
      <c r="A38" s="200" t="s">
        <v>133</v>
      </c>
      <c r="B38" s="200" t="s">
        <v>134</v>
      </c>
      <c r="C38" s="201">
        <v>-214749.05</v>
      </c>
      <c r="D38" s="201">
        <v>-703879</v>
      </c>
      <c r="E38" s="201">
        <v>-708879</v>
      </c>
      <c r="F38" s="201">
        <v>-720525</v>
      </c>
      <c r="G38" s="201">
        <v>-737753</v>
      </c>
      <c r="H38" s="201">
        <v>-750593</v>
      </c>
    </row>
    <row r="39" spans="1:8" s="17" customFormat="1" x14ac:dyDescent="0.25">
      <c r="A39" s="200" t="s">
        <v>136</v>
      </c>
      <c r="B39" s="200" t="s">
        <v>135</v>
      </c>
      <c r="C39" s="201">
        <v>-52899.34</v>
      </c>
      <c r="D39" s="201">
        <v>-176445.64</v>
      </c>
      <c r="E39" s="201">
        <v>-149228.82999999999</v>
      </c>
      <c r="F39" s="201">
        <v>-72570</v>
      </c>
      <c r="G39" s="201">
        <v>-72570</v>
      </c>
      <c r="H39" s="201">
        <v>-72570</v>
      </c>
    </row>
    <row r="40" spans="1:8" s="17" customFormat="1" x14ac:dyDescent="0.25">
      <c r="A40" s="200" t="s">
        <v>138</v>
      </c>
      <c r="B40" s="200" t="s">
        <v>120</v>
      </c>
      <c r="C40" s="199">
        <v>-34625.269999999997</v>
      </c>
      <c r="D40" s="201">
        <v>-103875.81</v>
      </c>
      <c r="E40" s="201">
        <v>-76659</v>
      </c>
      <c r="F40" s="201">
        <v>0</v>
      </c>
      <c r="G40" s="201">
        <v>0</v>
      </c>
      <c r="H40" s="201">
        <v>0</v>
      </c>
    </row>
    <row r="41" spans="1:8" s="17" customFormat="1" x14ac:dyDescent="0.25">
      <c r="A41" s="200" t="s">
        <v>113</v>
      </c>
      <c r="B41" s="200" t="s">
        <v>137</v>
      </c>
      <c r="C41" s="201">
        <f>SUM(C37:C39)</f>
        <v>-267648.39</v>
      </c>
      <c r="D41" s="201">
        <f>SUM(D37:D39)</f>
        <v>-880324.64</v>
      </c>
      <c r="E41" s="201">
        <f>SUM(E37:E39)</f>
        <v>-858107.83</v>
      </c>
      <c r="F41" s="201">
        <f>SUM(F37:F40)</f>
        <v>-793095</v>
      </c>
      <c r="G41" s="201">
        <f>SUM(G37:G40)</f>
        <v>-810323</v>
      </c>
      <c r="H41" s="201">
        <f>SUM(H37:H39)</f>
        <v>-823163</v>
      </c>
    </row>
    <row r="42" spans="1:8" x14ac:dyDescent="0.25">
      <c r="A42" s="198"/>
      <c r="B42" s="198"/>
      <c r="C42" s="197"/>
      <c r="D42" s="196"/>
      <c r="E42" s="196"/>
      <c r="F42" s="196"/>
      <c r="G42" s="196"/>
      <c r="H42" s="196"/>
    </row>
    <row r="43" spans="1:8" x14ac:dyDescent="0.25">
      <c r="A43" s="195" t="s">
        <v>2</v>
      </c>
      <c r="B43" s="195"/>
      <c r="C43" s="194">
        <f>C16+C34</f>
        <v>2850.0100000000093</v>
      </c>
      <c r="D43" s="194">
        <f>D16+D34</f>
        <v>0</v>
      </c>
      <c r="E43" s="194">
        <f>E16+E34</f>
        <v>0</v>
      </c>
      <c r="F43" s="194">
        <f>F16+F34</f>
        <v>0</v>
      </c>
      <c r="G43" s="194">
        <f>G16+G34</f>
        <v>0</v>
      </c>
      <c r="H43" s="194">
        <f>H16+H34</f>
        <v>0</v>
      </c>
    </row>
    <row r="44" spans="1:8" x14ac:dyDescent="0.25">
      <c r="A44" s="193" t="s">
        <v>3</v>
      </c>
      <c r="B44" s="193"/>
      <c r="C44" s="192">
        <f>C43/C16</f>
        <v>1.2082809093176527E-2</v>
      </c>
      <c r="D44" s="192">
        <f>D43/D16</f>
        <v>0</v>
      </c>
      <c r="E44" s="192">
        <f>E43/E16</f>
        <v>0</v>
      </c>
      <c r="F44" s="192">
        <f>F43/F16</f>
        <v>0</v>
      </c>
      <c r="G44" s="192">
        <f>G43/G16</f>
        <v>0</v>
      </c>
      <c r="H44" s="192">
        <f>H43/H16</f>
        <v>0</v>
      </c>
    </row>
    <row r="45" spans="1:8" x14ac:dyDescent="0.25">
      <c r="A45" s="193"/>
      <c r="B45" s="193"/>
      <c r="C45" s="192"/>
      <c r="D45" s="192"/>
      <c r="E45" s="192"/>
      <c r="F45" s="192"/>
      <c r="G45" s="192"/>
      <c r="H45" s="192"/>
    </row>
    <row r="46" spans="1:8" s="17" customFormat="1" x14ac:dyDescent="0.25">
      <c r="A46" s="213" t="s">
        <v>130</v>
      </c>
      <c r="B46" s="213" t="s">
        <v>141</v>
      </c>
      <c r="C46" s="212">
        <f>C21+C41</f>
        <v>-32478.640000000014</v>
      </c>
      <c r="D46" s="212">
        <f>D21+D41</f>
        <v>-103875.64000000001</v>
      </c>
      <c r="E46" s="212">
        <f>E21+E41</f>
        <v>-76658.829999999958</v>
      </c>
      <c r="F46" s="212">
        <f>F21+F41</f>
        <v>0</v>
      </c>
      <c r="G46" s="212">
        <f>G21+G41</f>
        <v>0</v>
      </c>
      <c r="H46" s="212">
        <f>H21+H41</f>
        <v>0</v>
      </c>
    </row>
    <row r="47" spans="1:8" x14ac:dyDescent="0.25">
      <c r="A47" s="193"/>
      <c r="B47" s="193"/>
      <c r="C47" s="211"/>
      <c r="D47" s="211"/>
      <c r="E47" s="211"/>
      <c r="F47" s="211"/>
      <c r="G47" s="211"/>
      <c r="H47" s="211"/>
    </row>
    <row r="48" spans="1:8" x14ac:dyDescent="0.25">
      <c r="A48" s="198" t="s">
        <v>151</v>
      </c>
      <c r="B48" s="198"/>
      <c r="C48" s="197"/>
      <c r="D48" s="196"/>
      <c r="E48" s="196"/>
      <c r="F48" s="196"/>
      <c r="G48" s="196"/>
      <c r="H48" s="196"/>
    </row>
    <row r="49" spans="1:8" x14ac:dyDescent="0.25">
      <c r="A49" s="202" t="s">
        <v>107</v>
      </c>
      <c r="B49" s="198"/>
      <c r="C49" s="197">
        <v>0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</row>
    <row r="50" spans="1:8" x14ac:dyDescent="0.25">
      <c r="A50" s="202" t="s">
        <v>142</v>
      </c>
      <c r="B50" s="198"/>
      <c r="C50" s="197">
        <v>0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</row>
    <row r="51" spans="1:8" x14ac:dyDescent="0.25">
      <c r="A51" s="202" t="s">
        <v>4</v>
      </c>
      <c r="B51" s="198"/>
      <c r="C51" s="197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</row>
    <row r="52" spans="1:8" x14ac:dyDescent="0.25">
      <c r="A52" s="202" t="s">
        <v>5</v>
      </c>
      <c r="B52" s="198"/>
      <c r="C52" s="197">
        <v>0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</row>
    <row r="53" spans="1:8" x14ac:dyDescent="0.25">
      <c r="A53" s="202" t="s">
        <v>143</v>
      </c>
      <c r="B53" s="198"/>
      <c r="C53" s="197">
        <v>0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</row>
    <row r="54" spans="1:8" x14ac:dyDescent="0.25">
      <c r="A54" s="202" t="s">
        <v>108</v>
      </c>
      <c r="B54" s="198"/>
      <c r="C54" s="197">
        <v>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</row>
    <row r="55" spans="1:8" x14ac:dyDescent="0.25">
      <c r="A55" s="202" t="s">
        <v>144</v>
      </c>
      <c r="B55" s="198"/>
      <c r="C55" s="197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</row>
    <row r="56" spans="1:8" x14ac:dyDescent="0.25">
      <c r="A56" s="202" t="s">
        <v>109</v>
      </c>
      <c r="B56" s="198"/>
      <c r="C56" s="197">
        <v>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</row>
    <row r="57" spans="1:8" x14ac:dyDescent="0.25">
      <c r="A57" s="202" t="s">
        <v>145</v>
      </c>
      <c r="B57" s="198"/>
      <c r="C57" s="197">
        <v>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</row>
    <row r="58" spans="1:8" x14ac:dyDescent="0.25">
      <c r="A58" s="202" t="s">
        <v>110</v>
      </c>
      <c r="B58" s="198"/>
      <c r="C58" s="197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</row>
    <row r="59" spans="1:8" x14ac:dyDescent="0.25">
      <c r="A59" s="202" t="s">
        <v>146</v>
      </c>
      <c r="B59" s="198"/>
      <c r="C59" s="197">
        <v>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</row>
    <row r="60" spans="1:8" x14ac:dyDescent="0.25">
      <c r="A60" s="202" t="s">
        <v>111</v>
      </c>
      <c r="B60" s="198"/>
      <c r="C60" s="197">
        <v>38.4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</row>
    <row r="61" spans="1:8" x14ac:dyDescent="0.25">
      <c r="A61" s="202" t="s">
        <v>112</v>
      </c>
      <c r="B61" s="198"/>
      <c r="C61" s="197">
        <v>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</row>
    <row r="62" spans="1:8" s="17" customFormat="1" x14ac:dyDescent="0.25">
      <c r="A62" s="210" t="s">
        <v>6</v>
      </c>
      <c r="B62" s="210"/>
      <c r="C62" s="204">
        <f>SUM(C49:C61)</f>
        <v>38.4</v>
      </c>
      <c r="D62" s="204">
        <f>SUM(D49:D61)</f>
        <v>0</v>
      </c>
      <c r="E62" s="204">
        <f>SUM(E49:E61)</f>
        <v>0</v>
      </c>
      <c r="F62" s="204">
        <f>SUM(F49:F61)</f>
        <v>0</v>
      </c>
      <c r="G62" s="204">
        <f>SUM(G49:G61)</f>
        <v>0</v>
      </c>
      <c r="H62" s="204">
        <f>SUM(H49:H61)</f>
        <v>0</v>
      </c>
    </row>
    <row r="63" spans="1:8" s="17" customFormat="1" x14ac:dyDescent="0.25">
      <c r="A63" s="210"/>
      <c r="B63" s="210"/>
      <c r="C63" s="205"/>
      <c r="D63" s="204"/>
      <c r="E63" s="204"/>
      <c r="F63" s="204"/>
      <c r="G63" s="204"/>
      <c r="H63" s="204"/>
    </row>
    <row r="64" spans="1:8" s="17" customFormat="1" x14ac:dyDescent="0.25">
      <c r="A64" s="195" t="s">
        <v>7</v>
      </c>
      <c r="B64" s="195"/>
      <c r="C64" s="194">
        <f>C43+C62</f>
        <v>2888.4100000000094</v>
      </c>
      <c r="D64" s="194">
        <f>D43+D62</f>
        <v>0</v>
      </c>
      <c r="E64" s="194">
        <f>E43+E62</f>
        <v>0</v>
      </c>
      <c r="F64" s="194">
        <f>F43+F62</f>
        <v>0</v>
      </c>
      <c r="G64" s="194">
        <f>G43+G62</f>
        <v>0</v>
      </c>
      <c r="H64" s="194">
        <f>H43+H62</f>
        <v>0</v>
      </c>
    </row>
    <row r="65" spans="1:8" s="17" customFormat="1" x14ac:dyDescent="0.25">
      <c r="A65" s="210"/>
      <c r="B65" s="210"/>
      <c r="C65" s="205"/>
      <c r="D65" s="204"/>
      <c r="E65" s="204"/>
      <c r="F65" s="204"/>
      <c r="G65" s="204"/>
      <c r="H65" s="204"/>
    </row>
    <row r="66" spans="1:8" s="17" customFormat="1" x14ac:dyDescent="0.25">
      <c r="A66" s="210" t="s">
        <v>93</v>
      </c>
      <c r="B66" s="210"/>
      <c r="C66" s="205"/>
      <c r="D66" s="204"/>
      <c r="E66" s="204"/>
      <c r="F66" s="204"/>
      <c r="G66" s="204"/>
      <c r="H66" s="204"/>
    </row>
    <row r="67" spans="1:8" s="17" customFormat="1" x14ac:dyDescent="0.25">
      <c r="A67" s="209" t="s">
        <v>59</v>
      </c>
      <c r="B67" s="209" t="s">
        <v>50</v>
      </c>
      <c r="C67" s="205">
        <v>0</v>
      </c>
      <c r="D67" s="205">
        <v>0</v>
      </c>
      <c r="E67" s="205">
        <v>0</v>
      </c>
      <c r="F67" s="205">
        <v>0</v>
      </c>
      <c r="G67" s="205">
        <v>0</v>
      </c>
      <c r="H67" s="205">
        <v>0</v>
      </c>
    </row>
    <row r="68" spans="1:8" s="17" customFormat="1" x14ac:dyDescent="0.25">
      <c r="A68" s="209" t="s">
        <v>60</v>
      </c>
      <c r="B68" s="206" t="s">
        <v>129</v>
      </c>
      <c r="C68" s="205">
        <v>0</v>
      </c>
      <c r="D68" s="205">
        <v>0</v>
      </c>
      <c r="E68" s="205">
        <v>0</v>
      </c>
      <c r="F68" s="205">
        <v>0</v>
      </c>
      <c r="G68" s="205">
        <v>0</v>
      </c>
      <c r="H68" s="205">
        <v>0</v>
      </c>
    </row>
    <row r="69" spans="1:8" ht="60" x14ac:dyDescent="0.25">
      <c r="A69" s="203" t="s">
        <v>61</v>
      </c>
      <c r="B69" s="208" t="s">
        <v>51</v>
      </c>
      <c r="C69" s="197">
        <v>0</v>
      </c>
      <c r="D69" s="196">
        <v>0</v>
      </c>
      <c r="E69" s="196">
        <v>0</v>
      </c>
      <c r="F69" s="205">
        <v>0</v>
      </c>
      <c r="G69" s="205">
        <v>0</v>
      </c>
      <c r="H69" s="205">
        <v>0</v>
      </c>
    </row>
    <row r="70" spans="1:8" x14ac:dyDescent="0.25">
      <c r="A70" s="203" t="s">
        <v>52</v>
      </c>
      <c r="B70" s="203" t="s">
        <v>62</v>
      </c>
      <c r="C70" s="197">
        <v>0</v>
      </c>
      <c r="D70" s="196">
        <v>0</v>
      </c>
      <c r="E70" s="196">
        <v>0</v>
      </c>
      <c r="F70" s="196">
        <v>0</v>
      </c>
      <c r="G70" s="205">
        <v>0</v>
      </c>
      <c r="H70" s="205">
        <v>0</v>
      </c>
    </row>
    <row r="71" spans="1:8" x14ac:dyDescent="0.25">
      <c r="A71" s="203" t="s">
        <v>63</v>
      </c>
      <c r="B71" s="203" t="s">
        <v>64</v>
      </c>
      <c r="C71" s="197">
        <v>0</v>
      </c>
      <c r="D71" s="196">
        <v>0</v>
      </c>
      <c r="E71" s="196">
        <v>0</v>
      </c>
      <c r="F71" s="196">
        <v>0</v>
      </c>
      <c r="G71" s="205">
        <v>0</v>
      </c>
      <c r="H71" s="205">
        <v>0</v>
      </c>
    </row>
    <row r="72" spans="1:8" x14ac:dyDescent="0.25">
      <c r="A72" s="203" t="s">
        <v>65</v>
      </c>
      <c r="B72" s="203" t="s">
        <v>66</v>
      </c>
      <c r="C72" s="197">
        <v>0</v>
      </c>
      <c r="D72" s="196">
        <v>0</v>
      </c>
      <c r="E72" s="196">
        <v>0</v>
      </c>
      <c r="F72" s="196">
        <v>0</v>
      </c>
      <c r="G72" s="205">
        <v>0</v>
      </c>
      <c r="H72" s="205">
        <v>0</v>
      </c>
    </row>
    <row r="73" spans="1:8" x14ac:dyDescent="0.25">
      <c r="A73" s="203" t="s">
        <v>67</v>
      </c>
      <c r="B73" s="203" t="s">
        <v>68</v>
      </c>
      <c r="C73" s="197">
        <v>0</v>
      </c>
      <c r="D73" s="196">
        <v>0</v>
      </c>
      <c r="E73" s="196">
        <v>0</v>
      </c>
      <c r="F73" s="196">
        <v>0</v>
      </c>
      <c r="G73" s="205">
        <v>0</v>
      </c>
      <c r="H73" s="205">
        <v>0</v>
      </c>
    </row>
    <row r="74" spans="1:8" x14ac:dyDescent="0.25">
      <c r="A74" s="203" t="s">
        <v>53</v>
      </c>
      <c r="B74" s="203" t="s">
        <v>69</v>
      </c>
      <c r="C74" s="197">
        <v>0</v>
      </c>
      <c r="D74" s="196">
        <v>0</v>
      </c>
      <c r="E74" s="196">
        <v>0</v>
      </c>
      <c r="F74" s="196">
        <v>0</v>
      </c>
      <c r="G74" s="205">
        <v>0</v>
      </c>
      <c r="H74" s="205">
        <v>0</v>
      </c>
    </row>
    <row r="75" spans="1:8" x14ac:dyDescent="0.25">
      <c r="A75" s="203" t="s">
        <v>70</v>
      </c>
      <c r="B75" s="203" t="s">
        <v>71</v>
      </c>
      <c r="C75" s="197">
        <v>0</v>
      </c>
      <c r="D75" s="196">
        <v>0</v>
      </c>
      <c r="E75" s="196">
        <v>0</v>
      </c>
      <c r="F75" s="196">
        <v>0</v>
      </c>
      <c r="G75" s="205">
        <v>0</v>
      </c>
      <c r="H75" s="205">
        <v>0</v>
      </c>
    </row>
    <row r="76" spans="1:8" x14ac:dyDescent="0.25">
      <c r="A76" s="203" t="s">
        <v>54</v>
      </c>
      <c r="B76" s="203" t="s">
        <v>58</v>
      </c>
      <c r="C76" s="197">
        <v>0</v>
      </c>
      <c r="D76" s="196">
        <v>0</v>
      </c>
      <c r="E76" s="196">
        <v>0</v>
      </c>
      <c r="F76" s="196">
        <v>0</v>
      </c>
      <c r="G76" s="205">
        <v>0</v>
      </c>
      <c r="H76" s="205">
        <v>0</v>
      </c>
    </row>
    <row r="77" spans="1:8" x14ac:dyDescent="0.25">
      <c r="A77" s="203" t="s">
        <v>55</v>
      </c>
      <c r="B77" s="203" t="s">
        <v>72</v>
      </c>
      <c r="C77" s="197">
        <v>0</v>
      </c>
      <c r="D77" s="196">
        <v>0</v>
      </c>
      <c r="E77" s="196">
        <v>0</v>
      </c>
      <c r="F77" s="196">
        <v>0</v>
      </c>
      <c r="G77" s="205">
        <v>0</v>
      </c>
      <c r="H77" s="205">
        <v>0</v>
      </c>
    </row>
    <row r="78" spans="1:8" ht="45" x14ac:dyDescent="0.25">
      <c r="A78" s="203" t="s">
        <v>73</v>
      </c>
      <c r="B78" s="208" t="s">
        <v>74</v>
      </c>
      <c r="C78" s="197">
        <v>0</v>
      </c>
      <c r="D78" s="196">
        <v>0</v>
      </c>
      <c r="E78" s="196">
        <v>0</v>
      </c>
      <c r="F78" s="196">
        <v>0</v>
      </c>
      <c r="G78" s="205">
        <v>0</v>
      </c>
      <c r="H78" s="205">
        <v>0</v>
      </c>
    </row>
    <row r="79" spans="1:8" x14ac:dyDescent="0.25">
      <c r="A79" s="203" t="s">
        <v>56</v>
      </c>
      <c r="B79" s="203" t="s">
        <v>75</v>
      </c>
      <c r="C79" s="197">
        <v>0</v>
      </c>
      <c r="D79" s="196">
        <v>0</v>
      </c>
      <c r="E79" s="196">
        <v>0</v>
      </c>
      <c r="F79" s="196">
        <v>0</v>
      </c>
      <c r="G79" s="205">
        <v>0</v>
      </c>
      <c r="H79" s="205">
        <v>0</v>
      </c>
    </row>
    <row r="80" spans="1:8" x14ac:dyDescent="0.25">
      <c r="A80" s="203" t="s">
        <v>76</v>
      </c>
      <c r="B80" s="203" t="s">
        <v>77</v>
      </c>
      <c r="C80" s="197">
        <v>0</v>
      </c>
      <c r="D80" s="196">
        <v>0</v>
      </c>
      <c r="E80" s="196">
        <v>0</v>
      </c>
      <c r="F80" s="196">
        <v>0</v>
      </c>
      <c r="G80" s="205">
        <v>0</v>
      </c>
      <c r="H80" s="205">
        <v>0</v>
      </c>
    </row>
    <row r="81" spans="1:8" ht="15" customHeight="1" x14ac:dyDescent="0.25">
      <c r="A81" s="203" t="s">
        <v>57</v>
      </c>
      <c r="B81" s="203" t="s">
        <v>78</v>
      </c>
      <c r="C81" s="197">
        <v>0</v>
      </c>
      <c r="D81" s="196">
        <v>0</v>
      </c>
      <c r="E81" s="196">
        <v>0</v>
      </c>
      <c r="F81" s="196">
        <v>0</v>
      </c>
      <c r="G81" s="205">
        <v>0</v>
      </c>
      <c r="H81" s="205">
        <v>0</v>
      </c>
    </row>
    <row r="82" spans="1:8" x14ac:dyDescent="0.25">
      <c r="A82" s="198" t="s">
        <v>8</v>
      </c>
      <c r="B82" s="198"/>
      <c r="C82" s="196">
        <f>SUM(C67:C81)</f>
        <v>0</v>
      </c>
      <c r="D82" s="196">
        <f>SUM(D67:D81)</f>
        <v>0</v>
      </c>
      <c r="E82" s="196">
        <f>SUM(E67:E81)</f>
        <v>0</v>
      </c>
      <c r="F82" s="196">
        <f>SUM(F67:F81)</f>
        <v>0</v>
      </c>
      <c r="G82" s="196">
        <f>SUM(G67:G81)</f>
        <v>0</v>
      </c>
      <c r="H82" s="196">
        <f>SUM(H67:H81)</f>
        <v>0</v>
      </c>
    </row>
    <row r="83" spans="1:8" x14ac:dyDescent="0.25">
      <c r="A83" s="198"/>
      <c r="B83" s="198"/>
      <c r="C83" s="197"/>
      <c r="D83" s="196"/>
      <c r="E83" s="196"/>
      <c r="F83" s="196"/>
      <c r="G83" s="196"/>
      <c r="H83" s="196"/>
    </row>
    <row r="84" spans="1:8" s="17" customFormat="1" x14ac:dyDescent="0.25">
      <c r="A84" s="200" t="s">
        <v>125</v>
      </c>
      <c r="B84" s="207" t="s">
        <v>124</v>
      </c>
      <c r="C84" s="199">
        <v>24250.32</v>
      </c>
      <c r="D84" s="201">
        <v>25000</v>
      </c>
      <c r="E84" s="201">
        <v>25000</v>
      </c>
      <c r="F84" s="201">
        <v>25000</v>
      </c>
      <c r="G84" s="201">
        <v>25000</v>
      </c>
      <c r="H84" s="201">
        <v>25000</v>
      </c>
    </row>
    <row r="85" spans="1:8" x14ac:dyDescent="0.25">
      <c r="A85" s="198"/>
      <c r="B85" s="198"/>
      <c r="C85" s="197"/>
      <c r="D85" s="196"/>
      <c r="E85" s="196"/>
      <c r="F85" s="196"/>
      <c r="G85" s="196"/>
      <c r="H85" s="196"/>
    </row>
    <row r="86" spans="1:8" x14ac:dyDescent="0.25">
      <c r="A86" s="198" t="s">
        <v>152</v>
      </c>
      <c r="B86" s="198"/>
      <c r="C86" s="197"/>
      <c r="D86" s="196"/>
      <c r="E86" s="196"/>
      <c r="F86" s="196"/>
      <c r="G86" s="196"/>
      <c r="H86" s="196"/>
    </row>
    <row r="87" spans="1:8" s="17" customFormat="1" x14ac:dyDescent="0.25">
      <c r="A87" s="206" t="s">
        <v>9</v>
      </c>
      <c r="B87" s="206" t="s">
        <v>80</v>
      </c>
      <c r="C87" s="205">
        <v>-44189.3</v>
      </c>
      <c r="D87" s="204">
        <v>-44189.3</v>
      </c>
      <c r="E87" s="204">
        <v>-44189</v>
      </c>
      <c r="F87" s="204">
        <v>-44189</v>
      </c>
      <c r="G87" s="204">
        <v>-44189</v>
      </c>
      <c r="H87" s="204">
        <v>-44189</v>
      </c>
    </row>
    <row r="88" spans="1:8" x14ac:dyDescent="0.25">
      <c r="A88" s="203" t="s">
        <v>88</v>
      </c>
      <c r="B88" s="202" t="s">
        <v>81</v>
      </c>
      <c r="C88" s="197">
        <v>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</row>
    <row r="89" spans="1:8" x14ac:dyDescent="0.25">
      <c r="A89" s="203" t="s">
        <v>88</v>
      </c>
      <c r="B89" s="202" t="s">
        <v>82</v>
      </c>
      <c r="C89" s="197">
        <v>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</row>
    <row r="90" spans="1:8" x14ac:dyDescent="0.25">
      <c r="A90" s="203" t="s">
        <v>89</v>
      </c>
      <c r="B90" s="202" t="s">
        <v>83</v>
      </c>
      <c r="C90" s="197">
        <v>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</row>
    <row r="91" spans="1:8" x14ac:dyDescent="0.25">
      <c r="A91" s="203" t="s">
        <v>90</v>
      </c>
      <c r="B91" s="202" t="s">
        <v>84</v>
      </c>
      <c r="C91" s="197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</row>
    <row r="92" spans="1:8" x14ac:dyDescent="0.25">
      <c r="A92" s="203" t="s">
        <v>79</v>
      </c>
      <c r="B92" s="202" t="s">
        <v>85</v>
      </c>
      <c r="C92" s="197">
        <v>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</row>
    <row r="93" spans="1:8" x14ac:dyDescent="0.25">
      <c r="A93" s="203" t="s">
        <v>91</v>
      </c>
      <c r="B93" s="202" t="s">
        <v>86</v>
      </c>
      <c r="C93" s="197">
        <v>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</row>
    <row r="94" spans="1:8" x14ac:dyDescent="0.25">
      <c r="A94" s="203" t="s">
        <v>92</v>
      </c>
      <c r="B94" s="202" t="s">
        <v>87</v>
      </c>
      <c r="C94" s="197">
        <v>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</row>
    <row r="95" spans="1:8" x14ac:dyDescent="0.25">
      <c r="A95" s="198" t="s">
        <v>10</v>
      </c>
      <c r="B95" s="198"/>
      <c r="C95" s="196">
        <f>SUM(C87:C94)</f>
        <v>-44189.3</v>
      </c>
      <c r="D95" s="196">
        <f>SUM(D87:D94)</f>
        <v>-44189.3</v>
      </c>
      <c r="E95" s="196">
        <v>-44189</v>
      </c>
      <c r="F95" s="196">
        <f>SUM(F87:F94)</f>
        <v>-44189</v>
      </c>
      <c r="G95" s="196">
        <f>SUM(G87:G94)</f>
        <v>-44189</v>
      </c>
      <c r="H95" s="196">
        <f>SUM(H87:H94)</f>
        <v>-44189</v>
      </c>
    </row>
    <row r="96" spans="1:8" x14ac:dyDescent="0.25">
      <c r="A96" s="198"/>
      <c r="B96" s="198"/>
      <c r="C96" s="197"/>
      <c r="D96" s="196"/>
      <c r="E96" s="196"/>
      <c r="F96" s="196"/>
      <c r="G96" s="196"/>
      <c r="H96" s="196"/>
    </row>
    <row r="97" spans="1:8" s="17" customFormat="1" x14ac:dyDescent="0.25">
      <c r="A97" s="200" t="s">
        <v>121</v>
      </c>
      <c r="B97" s="200" t="s">
        <v>126</v>
      </c>
      <c r="C97" s="199">
        <v>-65940.03</v>
      </c>
      <c r="D97" s="201">
        <v>-65000</v>
      </c>
      <c r="E97" s="201">
        <v>-65000</v>
      </c>
      <c r="F97" s="201">
        <v>-65000</v>
      </c>
      <c r="G97" s="201">
        <v>-65000</v>
      </c>
      <c r="H97" s="201">
        <v>-65000</v>
      </c>
    </row>
    <row r="98" spans="1:8" s="17" customFormat="1" x14ac:dyDescent="0.25">
      <c r="A98" s="200" t="s">
        <v>122</v>
      </c>
      <c r="B98" s="200" t="s">
        <v>127</v>
      </c>
      <c r="C98" s="199">
        <v>-180534.68</v>
      </c>
      <c r="D98" s="201">
        <v>-76658.87</v>
      </c>
      <c r="E98" s="201">
        <v>0</v>
      </c>
      <c r="F98" s="201">
        <v>0</v>
      </c>
      <c r="G98" s="201">
        <v>0</v>
      </c>
      <c r="H98" s="201">
        <v>0</v>
      </c>
    </row>
    <row r="99" spans="1:8" s="17" customFormat="1" x14ac:dyDescent="0.25">
      <c r="A99" s="200" t="s">
        <v>131</v>
      </c>
      <c r="B99" s="200"/>
      <c r="C99" s="199"/>
      <c r="D99" s="201"/>
      <c r="E99" s="201"/>
      <c r="F99" s="201"/>
      <c r="G99" s="201"/>
      <c r="H99" s="201"/>
    </row>
    <row r="100" spans="1:8" s="17" customFormat="1" x14ac:dyDescent="0.25">
      <c r="A100" s="200" t="s">
        <v>123</v>
      </c>
      <c r="B100" s="200" t="s">
        <v>128</v>
      </c>
      <c r="C100" s="199">
        <f>C97+C98</f>
        <v>-246474.71</v>
      </c>
      <c r="D100" s="199">
        <f>D97+D98</f>
        <v>-141658.87</v>
      </c>
      <c r="E100" s="199">
        <f>E97+E98</f>
        <v>-65000</v>
      </c>
      <c r="F100" s="199">
        <f>F97+F98</f>
        <v>-65000</v>
      </c>
      <c r="G100" s="199">
        <f>G97+G98</f>
        <v>-65000</v>
      </c>
      <c r="H100" s="199">
        <f>H97+H98</f>
        <v>-65000</v>
      </c>
    </row>
    <row r="101" spans="1:8" x14ac:dyDescent="0.25">
      <c r="A101" s="198"/>
      <c r="B101" s="198"/>
      <c r="C101" s="197"/>
      <c r="D101" s="196"/>
      <c r="E101" s="196"/>
      <c r="F101" s="196"/>
      <c r="G101" s="196"/>
      <c r="H101" s="196"/>
    </row>
    <row r="102" spans="1:8" x14ac:dyDescent="0.25">
      <c r="A102" s="195" t="s">
        <v>11</v>
      </c>
      <c r="B102" s="195"/>
      <c r="C102" s="194">
        <f>C82+C95</f>
        <v>-44189.3</v>
      </c>
      <c r="D102" s="194">
        <f>D82+D95</f>
        <v>-44189.3</v>
      </c>
      <c r="E102" s="194">
        <f>E82+E95</f>
        <v>-44189</v>
      </c>
      <c r="F102" s="194">
        <f>F82+F95</f>
        <v>-44189</v>
      </c>
      <c r="G102" s="194">
        <f>G82+G95</f>
        <v>-44189</v>
      </c>
      <c r="H102" s="194">
        <f>H82+H95</f>
        <v>-44189</v>
      </c>
    </row>
    <row r="103" spans="1:8" x14ac:dyDescent="0.25">
      <c r="A103" s="193" t="s">
        <v>3</v>
      </c>
      <c r="B103" s="193"/>
      <c r="C103" s="192">
        <f>C102/C16</f>
        <v>-0.18734350962316057</v>
      </c>
      <c r="D103" s="192">
        <f>D102/D16</f>
        <v>-5.6912044448508531E-2</v>
      </c>
      <c r="E103" s="192">
        <f>E102/E16</f>
        <v>-5.6547516216669293E-2</v>
      </c>
      <c r="F103" s="192">
        <f>F102/F16</f>
        <v>-5.5717158726255996E-2</v>
      </c>
      <c r="G103" s="192">
        <f>G102/G16</f>
        <v>-5.4532575281708649E-2</v>
      </c>
      <c r="H103" s="192">
        <f>H102/H16</f>
        <v>-5.3681956064594742E-2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/>
    </row>
    <row r="124" spans="1:8" x14ac:dyDescent="0.25">
      <c r="A124" s="32" t="s">
        <v>259</v>
      </c>
    </row>
    <row r="125" spans="1:8" x14ac:dyDescent="0.25">
      <c r="A125" s="117" t="s">
        <v>258</v>
      </c>
    </row>
    <row r="126" spans="1:8" x14ac:dyDescent="0.25">
      <c r="A126" s="14" t="s">
        <v>257</v>
      </c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hyperlinks>
    <hyperlink ref="A126" r:id="rId1"/>
  </hyperlinks>
  <pageMargins left="0.22" right="0.16" top="0.32" bottom="0.19" header="0.31496062992125984" footer="0.17"/>
  <pageSetup paperSize="9" scale="4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3" width="17.140625" style="32" customWidth="1"/>
    <col min="4" max="4" width="17.140625" style="38" customWidth="1"/>
    <col min="5" max="8" width="17.140625" style="32" customWidth="1"/>
    <col min="9" max="16384" width="9.140625" style="32"/>
  </cols>
  <sheetData>
    <row r="1" spans="1:8" ht="30" x14ac:dyDescent="0.25">
      <c r="A1" s="34" t="s">
        <v>159</v>
      </c>
      <c r="B1" s="31" t="s">
        <v>231</v>
      </c>
    </row>
    <row r="2" spans="1:8" x14ac:dyDescent="0.25">
      <c r="A2" s="1"/>
    </row>
    <row r="3" spans="1:8" x14ac:dyDescent="0.25">
      <c r="A3" s="1" t="s">
        <v>140</v>
      </c>
      <c r="B3" s="1"/>
      <c r="C3" s="1"/>
      <c r="D3" s="39"/>
      <c r="E3" s="40"/>
      <c r="F3" s="1"/>
      <c r="G3" s="1"/>
      <c r="H3" s="1"/>
    </row>
    <row r="4" spans="1:8" x14ac:dyDescent="0.25">
      <c r="A4" s="4" t="s">
        <v>157</v>
      </c>
      <c r="B4" s="4" t="s">
        <v>12</v>
      </c>
      <c r="C4" s="33">
        <v>2015</v>
      </c>
      <c r="D4" s="41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33"/>
      <c r="D5" s="42"/>
      <c r="E5" s="2"/>
      <c r="F5" s="2"/>
      <c r="G5" s="2"/>
      <c r="H5" s="2"/>
    </row>
    <row r="6" spans="1:8" x14ac:dyDescent="0.25">
      <c r="A6" s="5" t="s">
        <v>49</v>
      </c>
      <c r="B6" s="5"/>
      <c r="C6" s="5"/>
      <c r="D6" s="42"/>
      <c r="E6" s="2"/>
      <c r="F6" s="2"/>
      <c r="G6" s="2"/>
      <c r="H6" s="2"/>
    </row>
    <row r="7" spans="1:8" x14ac:dyDescent="0.25">
      <c r="A7" s="13" t="s">
        <v>13</v>
      </c>
      <c r="B7" s="13" t="s">
        <v>25</v>
      </c>
      <c r="C7" s="5"/>
      <c r="D7" s="42"/>
      <c r="E7" s="2"/>
      <c r="F7" s="2"/>
      <c r="G7" s="2"/>
      <c r="H7" s="2"/>
    </row>
    <row r="8" spans="1:8" x14ac:dyDescent="0.25">
      <c r="A8" s="13" t="s">
        <v>26</v>
      </c>
      <c r="B8" s="13" t="s">
        <v>27</v>
      </c>
      <c r="C8" s="5"/>
      <c r="D8" s="42"/>
      <c r="E8" s="2"/>
      <c r="F8" s="2"/>
      <c r="G8" s="2"/>
      <c r="H8" s="2"/>
    </row>
    <row r="9" spans="1:8" x14ac:dyDescent="0.25">
      <c r="A9" s="13" t="s">
        <v>28</v>
      </c>
      <c r="B9" s="13" t="s">
        <v>14</v>
      </c>
      <c r="C9" s="5"/>
      <c r="D9" s="42"/>
      <c r="E9" s="2"/>
      <c r="F9" s="2"/>
      <c r="G9" s="2"/>
      <c r="H9" s="2"/>
    </row>
    <row r="10" spans="1:8" x14ac:dyDescent="0.25">
      <c r="A10" s="13" t="s">
        <v>15</v>
      </c>
      <c r="B10" s="13" t="s">
        <v>29</v>
      </c>
      <c r="C10" s="7">
        <v>2525363.9700000002</v>
      </c>
      <c r="D10" s="43">
        <f>1378798+357904+2699191+515958</f>
        <v>4951851</v>
      </c>
      <c r="E10" s="7">
        <f>2349759+1500000+550000+200000</f>
        <v>4599759</v>
      </c>
      <c r="F10" s="7">
        <f>1318412+1500000+550000+200000</f>
        <v>3568412</v>
      </c>
      <c r="G10" s="7">
        <f>1205287+1500000+550000+200000</f>
        <v>3455287</v>
      </c>
      <c r="H10" s="7">
        <f>1107020+1500000+550000+200000</f>
        <v>3357020</v>
      </c>
    </row>
    <row r="11" spans="1:8" x14ac:dyDescent="0.25">
      <c r="A11" s="13" t="s">
        <v>16</v>
      </c>
      <c r="B11" s="13" t="s">
        <v>30</v>
      </c>
      <c r="C11" s="5"/>
      <c r="D11" s="42"/>
      <c r="E11" s="44"/>
      <c r="F11" s="44"/>
      <c r="G11" s="44"/>
      <c r="H11" s="44"/>
    </row>
    <row r="12" spans="1:8" x14ac:dyDescent="0.25">
      <c r="A12" s="13" t="s">
        <v>31</v>
      </c>
      <c r="B12" s="13" t="s">
        <v>32</v>
      </c>
      <c r="C12" s="5"/>
      <c r="D12" s="42"/>
      <c r="E12" s="44"/>
      <c r="F12" s="44"/>
      <c r="G12" s="44"/>
      <c r="H12" s="44"/>
    </row>
    <row r="13" spans="1:8" x14ac:dyDescent="0.25">
      <c r="A13" s="13" t="s">
        <v>17</v>
      </c>
      <c r="B13" s="13" t="s">
        <v>33</v>
      </c>
      <c r="C13" s="6"/>
      <c r="D13" s="43"/>
      <c r="E13" s="44"/>
      <c r="F13" s="44"/>
      <c r="G13" s="44"/>
      <c r="H13" s="44"/>
    </row>
    <row r="14" spans="1:8" x14ac:dyDescent="0.25">
      <c r="A14" s="13" t="s">
        <v>18</v>
      </c>
      <c r="B14" s="13" t="s">
        <v>34</v>
      </c>
      <c r="C14" s="6"/>
      <c r="D14" s="43"/>
      <c r="E14" s="44"/>
      <c r="F14" s="44"/>
      <c r="G14" s="44"/>
      <c r="H14" s="44"/>
    </row>
    <row r="15" spans="1:8" x14ac:dyDescent="0.25">
      <c r="A15" s="13" t="s">
        <v>35</v>
      </c>
      <c r="B15" s="13" t="s">
        <v>36</v>
      </c>
      <c r="C15" s="5">
        <v>100</v>
      </c>
      <c r="D15" s="43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2525463.9700000002</v>
      </c>
      <c r="D16" s="43">
        <f t="shared" ref="D16:H16" si="0">SUM(D7:D15)</f>
        <v>4951851</v>
      </c>
      <c r="E16" s="7">
        <f t="shared" si="0"/>
        <v>4599759</v>
      </c>
      <c r="F16" s="7">
        <f t="shared" si="0"/>
        <v>3568412</v>
      </c>
      <c r="G16" s="7">
        <f t="shared" si="0"/>
        <v>3455287</v>
      </c>
      <c r="H16" s="7">
        <f t="shared" si="0"/>
        <v>3357020</v>
      </c>
    </row>
    <row r="17" spans="1:8" x14ac:dyDescent="0.25">
      <c r="A17" s="13"/>
      <c r="B17" s="13"/>
      <c r="C17" s="7"/>
      <c r="D17" s="43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45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/>
      <c r="D19" s="45"/>
      <c r="E19" s="19"/>
      <c r="F19" s="19"/>
      <c r="G19" s="19"/>
      <c r="H19" s="19"/>
    </row>
    <row r="20" spans="1:8" s="17" customFormat="1" x14ac:dyDescent="0.25">
      <c r="A20" s="18" t="s">
        <v>148</v>
      </c>
      <c r="B20" s="18" t="s">
        <v>117</v>
      </c>
      <c r="C20" s="19">
        <v>2525363.9700000002</v>
      </c>
      <c r="D20" s="45">
        <v>4951851</v>
      </c>
      <c r="E20" s="19">
        <v>4599759</v>
      </c>
      <c r="F20" s="19">
        <v>3568412</v>
      </c>
      <c r="G20" s="19">
        <v>3455287</v>
      </c>
      <c r="H20" s="19">
        <v>3357020</v>
      </c>
    </row>
    <row r="21" spans="1:8" s="17" customFormat="1" x14ac:dyDescent="0.25">
      <c r="A21" s="18" t="s">
        <v>114</v>
      </c>
      <c r="B21" s="18" t="s">
        <v>116</v>
      </c>
      <c r="C21" s="19">
        <f>C19+C20</f>
        <v>2525363.9700000002</v>
      </c>
      <c r="D21" s="45">
        <v>4951851</v>
      </c>
      <c r="E21" s="19">
        <v>4599759</v>
      </c>
      <c r="F21" s="19">
        <v>3568412</v>
      </c>
      <c r="G21" s="19">
        <v>3455287</v>
      </c>
      <c r="H21" s="19">
        <v>3357020</v>
      </c>
    </row>
    <row r="22" spans="1:8" x14ac:dyDescent="0.25">
      <c r="A22" s="13"/>
      <c r="B22" s="13"/>
      <c r="C22" s="5"/>
      <c r="D22" s="43"/>
      <c r="E22" s="7"/>
      <c r="F22" s="7"/>
      <c r="G22" s="7"/>
      <c r="H22" s="7"/>
    </row>
    <row r="23" spans="1:8" x14ac:dyDescent="0.25">
      <c r="A23" s="2" t="s">
        <v>149</v>
      </c>
      <c r="B23" s="13"/>
      <c r="C23" s="5"/>
      <c r="D23" s="43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7"/>
      <c r="D24" s="43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7">
        <v>-93104.05</v>
      </c>
      <c r="D25" s="43">
        <v>-89000</v>
      </c>
      <c r="E25" s="7">
        <v>-89000</v>
      </c>
      <c r="F25" s="7">
        <v>-89000</v>
      </c>
      <c r="G25" s="7">
        <v>-89000</v>
      </c>
      <c r="H25" s="7">
        <v>-89000</v>
      </c>
    </row>
    <row r="26" spans="1:8" x14ac:dyDescent="0.25">
      <c r="A26" s="13" t="s">
        <v>20</v>
      </c>
      <c r="B26" s="13" t="s">
        <v>38</v>
      </c>
      <c r="C26" s="7">
        <v>-1323351.96</v>
      </c>
      <c r="D26" s="43">
        <f>-747902-448958</f>
        <v>-1196860</v>
      </c>
      <c r="E26" s="7">
        <v>-1250000</v>
      </c>
      <c r="F26" s="7">
        <v>-1250000</v>
      </c>
      <c r="G26" s="7">
        <v>-1250000</v>
      </c>
      <c r="H26" s="7">
        <v>-1250000</v>
      </c>
    </row>
    <row r="27" spans="1:8" x14ac:dyDescent="0.25">
      <c r="A27" s="13" t="s">
        <v>21</v>
      </c>
      <c r="B27" s="13" t="s">
        <v>39</v>
      </c>
      <c r="C27" s="7"/>
      <c r="D27" s="43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7">
        <v>-789438.55</v>
      </c>
      <c r="D28" s="43">
        <f>-860441-2492600</f>
        <v>-3353041</v>
      </c>
      <c r="E28" s="7">
        <f>-757610-2349759</f>
        <v>-3107369</v>
      </c>
      <c r="F28" s="7">
        <f>-734970-1318412</f>
        <v>-2053382</v>
      </c>
      <c r="G28" s="7">
        <f>-735240-1205287</f>
        <v>-1940527</v>
      </c>
      <c r="H28" s="7">
        <f>-734480-1107020</f>
        <v>-1841500</v>
      </c>
    </row>
    <row r="29" spans="1:8" x14ac:dyDescent="0.25">
      <c r="A29" s="2" t="s">
        <v>155</v>
      </c>
      <c r="B29" s="2" t="s">
        <v>156</v>
      </c>
      <c r="C29" s="7">
        <v>-537359.67000000004</v>
      </c>
      <c r="D29" s="43">
        <v>-611516</v>
      </c>
      <c r="E29" s="7">
        <v>-600000</v>
      </c>
      <c r="F29" s="7">
        <v>-580895</v>
      </c>
      <c r="G29" s="7">
        <v>-580000</v>
      </c>
      <c r="H29" s="7">
        <v>-575000</v>
      </c>
    </row>
    <row r="30" spans="1:8" x14ac:dyDescent="0.25">
      <c r="A30" s="13" t="s">
        <v>41</v>
      </c>
      <c r="B30" s="13" t="s">
        <v>42</v>
      </c>
      <c r="C30" s="7">
        <v>-53778.65</v>
      </c>
      <c r="D30" s="43">
        <v>-71430</v>
      </c>
      <c r="E30" s="7">
        <v>-70903</v>
      </c>
      <c r="F30" s="7">
        <v>-70903</v>
      </c>
      <c r="G30" s="7">
        <v>-70909</v>
      </c>
      <c r="H30" s="7">
        <v>-70903</v>
      </c>
    </row>
    <row r="31" spans="1:8" x14ac:dyDescent="0.25">
      <c r="A31" s="13" t="s">
        <v>43</v>
      </c>
      <c r="B31" s="13" t="s">
        <v>44</v>
      </c>
      <c r="C31" s="7"/>
      <c r="D31" s="43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7">
        <v>6869.74</v>
      </c>
      <c r="D32" s="46"/>
      <c r="E32" s="6"/>
      <c r="F32" s="6"/>
      <c r="G32" s="6"/>
      <c r="H32" s="6"/>
    </row>
    <row r="33" spans="1:10" x14ac:dyDescent="0.25">
      <c r="A33" s="13" t="s">
        <v>47</v>
      </c>
      <c r="B33" s="13" t="s">
        <v>48</v>
      </c>
      <c r="C33" s="7">
        <v>-30.76</v>
      </c>
      <c r="D33" s="46"/>
      <c r="E33" s="6"/>
      <c r="F33" s="6"/>
      <c r="G33" s="6"/>
      <c r="H33" s="6"/>
    </row>
    <row r="34" spans="1:10" x14ac:dyDescent="0.25">
      <c r="A34" s="5" t="s">
        <v>1</v>
      </c>
      <c r="B34" s="5"/>
      <c r="C34" s="7">
        <f>SUM(C24:C28)+SUM(C30:C33)</f>
        <v>-2252834.23</v>
      </c>
      <c r="D34" s="43">
        <f t="shared" ref="D34:H34" si="1">SUM(D24:D28)+SUM(D30:D33)</f>
        <v>-4710331</v>
      </c>
      <c r="E34" s="7">
        <f t="shared" si="1"/>
        <v>-4517272</v>
      </c>
      <c r="F34" s="7">
        <f t="shared" si="1"/>
        <v>-3463285</v>
      </c>
      <c r="G34" s="7">
        <f t="shared" si="1"/>
        <v>-3350436</v>
      </c>
      <c r="H34" s="7">
        <f t="shared" si="1"/>
        <v>-3251403</v>
      </c>
    </row>
    <row r="35" spans="1:10" x14ac:dyDescent="0.25">
      <c r="A35" s="5"/>
      <c r="B35" s="5"/>
      <c r="C35" s="7"/>
      <c r="D35" s="43"/>
      <c r="E35" s="7"/>
      <c r="F35" s="7"/>
      <c r="G35" s="7"/>
      <c r="H35" s="7"/>
    </row>
    <row r="36" spans="1:10" s="17" customFormat="1" x14ac:dyDescent="0.25">
      <c r="A36" s="21" t="s">
        <v>150</v>
      </c>
      <c r="B36" s="21"/>
      <c r="C36" s="19"/>
      <c r="D36" s="45"/>
      <c r="E36" s="19"/>
      <c r="F36" s="19"/>
      <c r="G36" s="19"/>
      <c r="H36" s="19"/>
    </row>
    <row r="37" spans="1:10" s="17" customFormat="1" x14ac:dyDescent="0.25">
      <c r="A37" s="21" t="s">
        <v>119</v>
      </c>
      <c r="B37" s="21" t="s">
        <v>118</v>
      </c>
      <c r="C37" s="19">
        <v>-1416456.01</v>
      </c>
      <c r="D37" s="45">
        <v>-1285860</v>
      </c>
      <c r="E37" s="19">
        <v>-1330000</v>
      </c>
      <c r="F37" s="19">
        <v>-1330000</v>
      </c>
      <c r="G37" s="19">
        <v>-1330000</v>
      </c>
      <c r="H37" s="19">
        <v>-1330000</v>
      </c>
    </row>
    <row r="38" spans="1:10" s="17" customFormat="1" x14ac:dyDescent="0.25">
      <c r="A38" s="21" t="s">
        <v>133</v>
      </c>
      <c r="B38" s="21" t="s">
        <v>134</v>
      </c>
      <c r="C38" s="19">
        <v>-789438.55</v>
      </c>
      <c r="D38" s="45">
        <v>-3353041</v>
      </c>
      <c r="E38" s="19">
        <v>-3107369</v>
      </c>
      <c r="F38" s="19">
        <v>-2053382</v>
      </c>
      <c r="G38" s="19">
        <v>-1940527</v>
      </c>
      <c r="H38" s="19">
        <v>-1841500</v>
      </c>
    </row>
    <row r="39" spans="1:10" s="17" customFormat="1" x14ac:dyDescent="0.25">
      <c r="A39" s="21" t="s">
        <v>136</v>
      </c>
      <c r="B39" s="21" t="s">
        <v>135</v>
      </c>
      <c r="C39" s="19">
        <v>-50404.46</v>
      </c>
      <c r="D39" s="45">
        <v>-71430</v>
      </c>
      <c r="E39" s="19">
        <v>-70903</v>
      </c>
      <c r="F39" s="19">
        <v>-70903</v>
      </c>
      <c r="G39" s="19">
        <v>-70909</v>
      </c>
      <c r="H39" s="19">
        <v>-70903</v>
      </c>
    </row>
    <row r="40" spans="1:10" s="17" customFormat="1" x14ac:dyDescent="0.25">
      <c r="A40" s="21" t="s">
        <v>138</v>
      </c>
      <c r="B40" s="21" t="s">
        <v>120</v>
      </c>
      <c r="C40" s="47">
        <v>-3464.64</v>
      </c>
      <c r="D40" s="45">
        <v>-2742</v>
      </c>
      <c r="E40" s="19">
        <v>-2080</v>
      </c>
      <c r="F40" s="19">
        <v>-1665</v>
      </c>
      <c r="G40" s="19">
        <v>-1330</v>
      </c>
      <c r="H40" s="19">
        <v>-1065</v>
      </c>
    </row>
    <row r="41" spans="1:10" s="17" customFormat="1" x14ac:dyDescent="0.25">
      <c r="A41" s="21" t="s">
        <v>113</v>
      </c>
      <c r="B41" s="21" t="s">
        <v>137</v>
      </c>
      <c r="C41" s="19">
        <f>SUM(C37:C39)</f>
        <v>-2256299.02</v>
      </c>
      <c r="D41" s="45">
        <f>SUM(D37:D39)</f>
        <v>-4710331</v>
      </c>
      <c r="E41" s="19">
        <f t="shared" ref="E41:H41" si="2">SUM(E37:E39)</f>
        <v>-4508272</v>
      </c>
      <c r="F41" s="19">
        <f t="shared" si="2"/>
        <v>-3454285</v>
      </c>
      <c r="G41" s="19">
        <f t="shared" si="2"/>
        <v>-3341436</v>
      </c>
      <c r="H41" s="19">
        <f t="shared" si="2"/>
        <v>-3242403</v>
      </c>
      <c r="J41" s="32"/>
    </row>
    <row r="42" spans="1:10" x14ac:dyDescent="0.25">
      <c r="A42" s="5"/>
      <c r="B42" s="5"/>
      <c r="C42" s="5"/>
      <c r="D42" s="43"/>
      <c r="E42" s="7"/>
      <c r="F42" s="7"/>
      <c r="G42" s="7"/>
      <c r="H42" s="7"/>
    </row>
    <row r="43" spans="1:10" x14ac:dyDescent="0.25">
      <c r="A43" s="8" t="s">
        <v>2</v>
      </c>
      <c r="B43" s="8"/>
      <c r="C43" s="9">
        <f t="shared" ref="C43:H43" si="3">C16+C34</f>
        <v>272629.74000000022</v>
      </c>
      <c r="D43" s="48">
        <f t="shared" si="3"/>
        <v>241520</v>
      </c>
      <c r="E43" s="9">
        <f t="shared" si="3"/>
        <v>82487</v>
      </c>
      <c r="F43" s="9">
        <f t="shared" si="3"/>
        <v>105127</v>
      </c>
      <c r="G43" s="9">
        <f t="shared" si="3"/>
        <v>104851</v>
      </c>
      <c r="H43" s="9">
        <f t="shared" si="3"/>
        <v>105617</v>
      </c>
    </row>
    <row r="44" spans="1:10" x14ac:dyDescent="0.25">
      <c r="A44" s="10" t="s">
        <v>3</v>
      </c>
      <c r="B44" s="10"/>
      <c r="C44" s="11">
        <f t="shared" ref="C44:H44" si="4">C43/C16</f>
        <v>0.10795233796188357</v>
      </c>
      <c r="D44" s="49">
        <f t="shared" si="4"/>
        <v>4.8773680791283906E-2</v>
      </c>
      <c r="E44" s="11">
        <f t="shared" si="4"/>
        <v>1.7932896049553899E-2</v>
      </c>
      <c r="F44" s="11">
        <f t="shared" si="4"/>
        <v>2.9460443468971632E-2</v>
      </c>
      <c r="G44" s="11">
        <f t="shared" si="4"/>
        <v>3.0345091449711703E-2</v>
      </c>
      <c r="H44" s="11">
        <f t="shared" si="4"/>
        <v>3.1461534337001267E-2</v>
      </c>
    </row>
    <row r="45" spans="1:10" x14ac:dyDescent="0.25">
      <c r="A45" s="10"/>
      <c r="B45" s="10"/>
      <c r="C45" s="11"/>
      <c r="D45" s="49"/>
      <c r="E45" s="11"/>
      <c r="F45" s="11"/>
      <c r="G45" s="11"/>
      <c r="H45" s="11"/>
    </row>
    <row r="46" spans="1:10" s="17" customFormat="1" x14ac:dyDescent="0.25">
      <c r="A46" s="22" t="s">
        <v>130</v>
      </c>
      <c r="B46" s="22" t="s">
        <v>141</v>
      </c>
      <c r="C46" s="23">
        <f>C21+C41</f>
        <v>269064.95000000019</v>
      </c>
      <c r="D46" s="50">
        <f t="shared" ref="D46:H46" si="5">D21+D41</f>
        <v>241520</v>
      </c>
      <c r="E46" s="23">
        <f t="shared" si="5"/>
        <v>91487</v>
      </c>
      <c r="F46" s="23">
        <f t="shared" si="5"/>
        <v>114127</v>
      </c>
      <c r="G46" s="23">
        <f t="shared" si="5"/>
        <v>113851</v>
      </c>
      <c r="H46" s="23">
        <f t="shared" si="5"/>
        <v>114617</v>
      </c>
    </row>
    <row r="47" spans="1:10" x14ac:dyDescent="0.25">
      <c r="A47" s="10"/>
      <c r="B47" s="10"/>
      <c r="C47" s="11"/>
      <c r="D47" s="49"/>
      <c r="E47" s="11"/>
      <c r="F47" s="11"/>
      <c r="G47" s="11"/>
      <c r="H47" s="11"/>
    </row>
    <row r="48" spans="1:10" x14ac:dyDescent="0.25">
      <c r="A48" s="5" t="s">
        <v>151</v>
      </c>
      <c r="B48" s="5"/>
      <c r="C48" s="5"/>
      <c r="D48" s="43"/>
      <c r="E48" s="7"/>
      <c r="F48" s="7"/>
      <c r="G48" s="7"/>
      <c r="H48" s="7"/>
    </row>
    <row r="49" spans="1:8" x14ac:dyDescent="0.25">
      <c r="A49" s="2" t="s">
        <v>107</v>
      </c>
      <c r="B49" s="5"/>
      <c r="C49" s="6"/>
      <c r="D49" s="43"/>
      <c r="E49" s="7"/>
      <c r="F49" s="7"/>
      <c r="G49" s="7"/>
      <c r="H49" s="7"/>
    </row>
    <row r="50" spans="1:8" x14ac:dyDescent="0.25">
      <c r="A50" s="2" t="s">
        <v>142</v>
      </c>
      <c r="B50" s="5"/>
      <c r="C50" s="6"/>
      <c r="D50" s="43"/>
      <c r="E50" s="7"/>
      <c r="F50" s="7"/>
      <c r="G50" s="7"/>
      <c r="H50" s="7"/>
    </row>
    <row r="51" spans="1:8" x14ac:dyDescent="0.25">
      <c r="A51" s="2" t="s">
        <v>4</v>
      </c>
      <c r="B51" s="5"/>
      <c r="C51" s="6"/>
      <c r="D51" s="43"/>
      <c r="E51" s="7"/>
      <c r="F51" s="7"/>
      <c r="G51" s="7"/>
      <c r="H51" s="7"/>
    </row>
    <row r="52" spans="1:8" x14ac:dyDescent="0.25">
      <c r="A52" s="2" t="s">
        <v>5</v>
      </c>
      <c r="B52" s="5"/>
      <c r="C52" s="6"/>
      <c r="D52" s="43"/>
      <c r="E52" s="7"/>
      <c r="F52" s="7"/>
      <c r="G52" s="7"/>
      <c r="H52" s="7"/>
    </row>
    <row r="53" spans="1:8" x14ac:dyDescent="0.25">
      <c r="A53" s="2" t="s">
        <v>143</v>
      </c>
      <c r="B53" s="5"/>
      <c r="C53" s="6"/>
      <c r="D53" s="43"/>
      <c r="E53" s="7"/>
      <c r="F53" s="7"/>
      <c r="G53" s="7"/>
      <c r="H53" s="7"/>
    </row>
    <row r="54" spans="1:8" x14ac:dyDescent="0.25">
      <c r="A54" s="2" t="s">
        <v>108</v>
      </c>
      <c r="B54" s="5"/>
      <c r="C54" s="6"/>
      <c r="D54" s="43"/>
      <c r="E54" s="7"/>
      <c r="F54" s="7"/>
      <c r="G54" s="7"/>
      <c r="H54" s="7"/>
    </row>
    <row r="55" spans="1:8" x14ac:dyDescent="0.25">
      <c r="A55" s="2" t="s">
        <v>144</v>
      </c>
      <c r="B55" s="5"/>
      <c r="C55" s="6"/>
      <c r="D55" s="43"/>
      <c r="E55" s="7"/>
      <c r="F55" s="7"/>
      <c r="G55" s="7"/>
      <c r="H55" s="7"/>
    </row>
    <row r="56" spans="1:8" x14ac:dyDescent="0.25">
      <c r="A56" s="2" t="s">
        <v>109</v>
      </c>
      <c r="B56" s="5"/>
      <c r="C56" s="6"/>
      <c r="D56" s="43"/>
      <c r="E56" s="7"/>
      <c r="F56" s="7"/>
      <c r="G56" s="7"/>
      <c r="H56" s="7"/>
    </row>
    <row r="57" spans="1:8" x14ac:dyDescent="0.25">
      <c r="A57" s="2" t="s">
        <v>145</v>
      </c>
      <c r="B57" s="5"/>
      <c r="C57" s="6"/>
      <c r="D57" s="43"/>
      <c r="E57" s="7"/>
      <c r="F57" s="7"/>
      <c r="G57" s="7"/>
      <c r="H57" s="7"/>
    </row>
    <row r="58" spans="1:8" x14ac:dyDescent="0.25">
      <c r="A58" s="2" t="s">
        <v>110</v>
      </c>
      <c r="B58" s="5"/>
      <c r="C58" s="6"/>
      <c r="D58" s="43"/>
      <c r="E58" s="7"/>
      <c r="F58" s="7"/>
      <c r="G58" s="7"/>
      <c r="H58" s="7"/>
    </row>
    <row r="59" spans="1:8" x14ac:dyDescent="0.25">
      <c r="A59" s="2" t="s">
        <v>146</v>
      </c>
      <c r="B59" s="5"/>
      <c r="C59" s="6"/>
      <c r="D59" s="43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2835.8</v>
      </c>
      <c r="D60" s="43"/>
      <c r="E60" s="7"/>
      <c r="F60" s="7"/>
      <c r="G60" s="7"/>
      <c r="H60" s="7"/>
    </row>
    <row r="61" spans="1:8" x14ac:dyDescent="0.25">
      <c r="A61" s="2" t="s">
        <v>112</v>
      </c>
      <c r="B61" s="5"/>
      <c r="C61" s="5"/>
      <c r="D61" s="43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2835.8</v>
      </c>
      <c r="D62" s="52">
        <f>SUM(D49:D61)</f>
        <v>0</v>
      </c>
      <c r="E62" s="16">
        <f t="shared" ref="E62:H62" si="6">SUM(E49:E61)</f>
        <v>0</v>
      </c>
      <c r="F62" s="16">
        <f t="shared" si="6"/>
        <v>0</v>
      </c>
      <c r="G62" s="16">
        <f t="shared" si="6"/>
        <v>0</v>
      </c>
      <c r="H62" s="16">
        <f t="shared" si="6"/>
        <v>0</v>
      </c>
    </row>
    <row r="63" spans="1:8" s="17" customFormat="1" x14ac:dyDescent="0.25">
      <c r="A63" s="20"/>
      <c r="B63" s="20"/>
      <c r="C63" s="20"/>
      <c r="D63" s="52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275465.54000000021</v>
      </c>
      <c r="D64" s="48">
        <f t="shared" ref="D64:H64" si="7">D43+D62</f>
        <v>241520</v>
      </c>
      <c r="E64" s="9">
        <f t="shared" si="7"/>
        <v>82487</v>
      </c>
      <c r="F64" s="9">
        <f t="shared" si="7"/>
        <v>105127</v>
      </c>
      <c r="G64" s="9">
        <f t="shared" si="7"/>
        <v>104851</v>
      </c>
      <c r="H64" s="9">
        <f t="shared" si="7"/>
        <v>105617</v>
      </c>
    </row>
    <row r="65" spans="1:8" s="17" customFormat="1" x14ac:dyDescent="0.25">
      <c r="A65" s="20"/>
      <c r="B65" s="20"/>
      <c r="C65" s="20"/>
      <c r="D65" s="52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20"/>
      <c r="D66" s="52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25"/>
      <c r="D67" s="53"/>
      <c r="E67" s="25"/>
      <c r="F67" s="25"/>
      <c r="G67" s="25"/>
      <c r="H67" s="25"/>
    </row>
    <row r="68" spans="1:8" s="17" customFormat="1" x14ac:dyDescent="0.25">
      <c r="A68" s="24" t="s">
        <v>60</v>
      </c>
      <c r="B68" s="15" t="s">
        <v>129</v>
      </c>
      <c r="C68" s="25"/>
      <c r="D68" s="53"/>
      <c r="E68" s="25"/>
      <c r="F68" s="25"/>
      <c r="G68" s="25"/>
      <c r="H68" s="25"/>
    </row>
    <row r="69" spans="1:8" ht="60" x14ac:dyDescent="0.25">
      <c r="A69" s="13" t="s">
        <v>61</v>
      </c>
      <c r="B69" s="26" t="s">
        <v>51</v>
      </c>
      <c r="C69" s="6"/>
      <c r="D69" s="43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6"/>
      <c r="D70" s="43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6"/>
      <c r="D71" s="43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6"/>
      <c r="D72" s="43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6"/>
      <c r="D73" s="43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6"/>
      <c r="D74" s="43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6"/>
      <c r="D75" s="43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6"/>
      <c r="D76" s="43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6"/>
      <c r="D77" s="43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6"/>
      <c r="D78" s="43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6">
        <v>7732.47</v>
      </c>
      <c r="D79" s="43">
        <v>7500</v>
      </c>
      <c r="E79" s="7">
        <v>7500</v>
      </c>
      <c r="F79" s="7">
        <v>7500</v>
      </c>
      <c r="G79" s="7">
        <v>7500</v>
      </c>
      <c r="H79" s="7">
        <v>7500</v>
      </c>
    </row>
    <row r="80" spans="1:8" x14ac:dyDescent="0.25">
      <c r="A80" s="13" t="s">
        <v>76</v>
      </c>
      <c r="B80" s="13" t="s">
        <v>77</v>
      </c>
      <c r="C80" s="51">
        <v>780364.43</v>
      </c>
      <c r="D80" s="43">
        <v>613020</v>
      </c>
      <c r="E80" s="7">
        <v>750000</v>
      </c>
      <c r="F80" s="7">
        <v>750000</v>
      </c>
      <c r="G80" s="7">
        <v>750000</v>
      </c>
      <c r="H80" s="7">
        <v>750000</v>
      </c>
    </row>
    <row r="81" spans="1:8" ht="15" customHeight="1" x14ac:dyDescent="0.25">
      <c r="A81" s="13" t="s">
        <v>57</v>
      </c>
      <c r="B81" s="13" t="s">
        <v>78</v>
      </c>
      <c r="C81" s="6"/>
      <c r="D81" s="43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788096.9</v>
      </c>
      <c r="D82" s="43">
        <f>SUM(D67:D81)</f>
        <v>620520</v>
      </c>
      <c r="E82" s="7">
        <f t="shared" ref="E82:H82" si="8">SUM(E67:E81)</f>
        <v>757500</v>
      </c>
      <c r="F82" s="7">
        <v>784540</v>
      </c>
      <c r="G82" s="7">
        <f t="shared" si="8"/>
        <v>757500</v>
      </c>
      <c r="H82" s="7">
        <f t="shared" si="8"/>
        <v>757500</v>
      </c>
    </row>
    <row r="83" spans="1:8" x14ac:dyDescent="0.25">
      <c r="A83" s="5"/>
      <c r="B83" s="5"/>
      <c r="C83" s="5"/>
      <c r="D83" s="43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21"/>
      <c r="D84" s="45"/>
      <c r="E84" s="19"/>
      <c r="F84" s="19"/>
      <c r="G84" s="19"/>
      <c r="H84" s="19"/>
    </row>
    <row r="85" spans="1:8" x14ac:dyDescent="0.25">
      <c r="A85" s="5"/>
      <c r="B85" s="5"/>
      <c r="C85" s="5"/>
      <c r="D85" s="43"/>
      <c r="E85" s="7"/>
      <c r="F85" s="7"/>
      <c r="G85" s="7"/>
      <c r="H85" s="7"/>
    </row>
    <row r="86" spans="1:8" x14ac:dyDescent="0.25">
      <c r="A86" s="5" t="s">
        <v>152</v>
      </c>
      <c r="B86" s="5"/>
      <c r="C86" s="5"/>
      <c r="D86" s="43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f>-1071397.64</f>
        <v>-1071397.6399999999</v>
      </c>
      <c r="D87" s="52">
        <v>-425612</v>
      </c>
      <c r="E87" s="16">
        <v>-550000</v>
      </c>
      <c r="F87" s="16">
        <v>-500000</v>
      </c>
      <c r="G87" s="16">
        <v>-500000</v>
      </c>
      <c r="H87" s="16">
        <v>-500000</v>
      </c>
    </row>
    <row r="88" spans="1:8" x14ac:dyDescent="0.25">
      <c r="A88" s="13" t="s">
        <v>88</v>
      </c>
      <c r="B88" s="2" t="s">
        <v>81</v>
      </c>
      <c r="C88" s="5"/>
      <c r="D88" s="43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"/>
      <c r="D89" s="43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"/>
      <c r="D90" s="43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"/>
      <c r="D91" s="43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"/>
      <c r="D92" s="43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"/>
      <c r="D93" s="43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6"/>
      <c r="D94" s="43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-1071397.6399999999</v>
      </c>
      <c r="D95" s="43">
        <f t="shared" ref="D95:H95" si="9">SUM(D87:D94)</f>
        <v>-425612</v>
      </c>
      <c r="E95" s="7">
        <f t="shared" si="9"/>
        <v>-550000</v>
      </c>
      <c r="F95" s="7">
        <f t="shared" si="9"/>
        <v>-500000</v>
      </c>
      <c r="G95" s="7">
        <f t="shared" si="9"/>
        <v>-500000</v>
      </c>
      <c r="H95" s="7">
        <f t="shared" si="9"/>
        <v>-500000</v>
      </c>
    </row>
    <row r="96" spans="1:8" x14ac:dyDescent="0.25">
      <c r="A96" s="5"/>
      <c r="B96" s="5"/>
      <c r="C96" s="5"/>
      <c r="D96" s="43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1266414.26</v>
      </c>
      <c r="D97" s="45">
        <v>620629</v>
      </c>
      <c r="E97" s="19">
        <v>725000</v>
      </c>
      <c r="F97" s="19">
        <v>725000</v>
      </c>
      <c r="G97" s="19">
        <v>725000</v>
      </c>
      <c r="H97" s="19">
        <v>725000</v>
      </c>
    </row>
    <row r="98" spans="1:8" s="17" customFormat="1" x14ac:dyDescent="0.25">
      <c r="A98" s="21" t="s">
        <v>122</v>
      </c>
      <c r="B98" s="21" t="s">
        <v>127</v>
      </c>
      <c r="C98" s="55">
        <v>26096.06</v>
      </c>
      <c r="D98" s="45">
        <v>23354</v>
      </c>
      <c r="E98" s="19">
        <v>21275</v>
      </c>
      <c r="F98" s="19">
        <v>19610</v>
      </c>
      <c r="G98" s="19">
        <v>18280</v>
      </c>
      <c r="H98" s="19">
        <v>17195</v>
      </c>
    </row>
    <row r="99" spans="1:8" s="17" customFormat="1" x14ac:dyDescent="0.25">
      <c r="A99" s="21" t="s">
        <v>131</v>
      </c>
      <c r="B99" s="21"/>
      <c r="C99" s="55">
        <v>451368.95</v>
      </c>
      <c r="D99" s="45">
        <v>334985</v>
      </c>
      <c r="E99" s="19">
        <v>270855</v>
      </c>
      <c r="F99" s="19">
        <v>293495</v>
      </c>
      <c r="G99" s="19">
        <v>293219</v>
      </c>
      <c r="H99" s="19">
        <v>293985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1292510.32</v>
      </c>
      <c r="D100" s="56">
        <f t="shared" ref="D100:H100" si="10">D97+D98</f>
        <v>643983</v>
      </c>
      <c r="E100" s="21">
        <f t="shared" si="10"/>
        <v>746275</v>
      </c>
      <c r="F100" s="21">
        <f t="shared" si="10"/>
        <v>744610</v>
      </c>
      <c r="G100" s="21">
        <f t="shared" si="10"/>
        <v>743280</v>
      </c>
      <c r="H100" s="21">
        <f t="shared" si="10"/>
        <v>742195</v>
      </c>
    </row>
    <row r="101" spans="1:8" x14ac:dyDescent="0.25">
      <c r="A101" s="5"/>
      <c r="B101" s="5"/>
      <c r="C101" s="5"/>
      <c r="D101" s="43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-283300.73999999987</v>
      </c>
      <c r="D102" s="48">
        <f>D82+D95</f>
        <v>194908</v>
      </c>
      <c r="E102" s="9">
        <f t="shared" ref="E102:H102" si="11">E82+E95</f>
        <v>207500</v>
      </c>
      <c r="F102" s="9">
        <f t="shared" si="11"/>
        <v>284540</v>
      </c>
      <c r="G102" s="9">
        <f t="shared" si="11"/>
        <v>257500</v>
      </c>
      <c r="H102" s="9">
        <f t="shared" si="11"/>
        <v>257500</v>
      </c>
    </row>
    <row r="103" spans="1:8" x14ac:dyDescent="0.25">
      <c r="A103" s="10" t="s">
        <v>3</v>
      </c>
      <c r="B103" s="10"/>
      <c r="C103" s="11">
        <f t="shared" ref="C103:H103" si="12">C102/C16</f>
        <v>-0.11217770016334853</v>
      </c>
      <c r="D103" s="49">
        <f t="shared" si="12"/>
        <v>3.9360635043340357E-2</v>
      </c>
      <c r="E103" s="11">
        <f t="shared" si="12"/>
        <v>4.5111059079399593E-2</v>
      </c>
      <c r="F103" s="11">
        <f t="shared" si="12"/>
        <v>7.9738550369183828E-2</v>
      </c>
      <c r="G103" s="11">
        <f t="shared" si="12"/>
        <v>7.4523476631608312E-2</v>
      </c>
      <c r="H103" s="11">
        <f t="shared" si="12"/>
        <v>7.6704934733781746E-2</v>
      </c>
    </row>
    <row r="104" spans="1:8" x14ac:dyDescent="0.25">
      <c r="A104" s="27"/>
      <c r="B104" s="27"/>
      <c r="C104" s="28"/>
      <c r="D104" s="57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58" customFormat="1" x14ac:dyDescent="0.25">
      <c r="A106" s="58" t="s">
        <v>154</v>
      </c>
      <c r="B106" s="59"/>
      <c r="C106" s="59"/>
      <c r="D106" s="60"/>
      <c r="E106" s="59"/>
      <c r="F106" s="59"/>
      <c r="G106" s="59"/>
      <c r="H106" s="5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2:H112"/>
    <mergeCell ref="A105:H105"/>
    <mergeCell ref="A108:H108"/>
    <mergeCell ref="A109:H109"/>
    <mergeCell ref="A110:H110"/>
    <mergeCell ref="A111:H111"/>
    <mergeCell ref="A119:H119"/>
    <mergeCell ref="A120:H120"/>
    <mergeCell ref="A113:H113"/>
    <mergeCell ref="A114:H114"/>
    <mergeCell ref="A115:H115"/>
    <mergeCell ref="A116:H116"/>
    <mergeCell ref="A117:H117"/>
    <mergeCell ref="A118:H118"/>
  </mergeCells>
  <pageMargins left="0.22" right="0.16" top="0.32" bottom="0.19" header="0.31496062992125984" footer="0.17"/>
  <pageSetup paperSize="9" scale="4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zoomScaleNormal="100" workbookViewId="0">
      <selection activeCell="B1" sqref="B1"/>
    </sheetView>
  </sheetViews>
  <sheetFormatPr defaultRowHeight="15" x14ac:dyDescent="0.25"/>
  <cols>
    <col min="1" max="1" width="43.85546875" style="64" customWidth="1"/>
    <col min="2" max="2" width="31.42578125" style="64" customWidth="1"/>
    <col min="3" max="8" width="12.140625" style="64" customWidth="1"/>
    <col min="9" max="16384" width="9.140625" style="64"/>
  </cols>
  <sheetData>
    <row r="1" spans="1:8" ht="30" x14ac:dyDescent="0.25">
      <c r="A1" s="236" t="s">
        <v>159</v>
      </c>
      <c r="B1" s="235" t="s">
        <v>275</v>
      </c>
      <c r="H1" s="218"/>
    </row>
    <row r="2" spans="1:8" x14ac:dyDescent="0.25">
      <c r="A2" s="234"/>
    </row>
    <row r="3" spans="1:8" x14ac:dyDescent="0.25">
      <c r="A3" s="234" t="s">
        <v>140</v>
      </c>
      <c r="B3" s="234"/>
      <c r="C3" s="234"/>
    </row>
    <row r="4" spans="1:8" x14ac:dyDescent="0.25">
      <c r="A4" s="224" t="s">
        <v>157</v>
      </c>
      <c r="B4" s="224" t="s">
        <v>12</v>
      </c>
      <c r="C4" s="233">
        <v>2015</v>
      </c>
      <c r="D4" s="232">
        <v>2016</v>
      </c>
      <c r="E4" s="232">
        <v>2017</v>
      </c>
      <c r="F4" s="232">
        <v>2018</v>
      </c>
      <c r="G4" s="232">
        <v>2019</v>
      </c>
      <c r="H4" s="232">
        <v>2020</v>
      </c>
    </row>
    <row r="5" spans="1:8" x14ac:dyDescent="0.25">
      <c r="A5" s="231"/>
      <c r="B5" s="231"/>
      <c r="C5" s="231"/>
      <c r="D5" s="226"/>
      <c r="E5" s="226"/>
      <c r="F5" s="226"/>
      <c r="G5" s="226"/>
      <c r="H5" s="226"/>
    </row>
    <row r="6" spans="1:8" x14ac:dyDescent="0.25">
      <c r="A6" s="227" t="s">
        <v>49</v>
      </c>
      <c r="B6" s="227"/>
      <c r="C6" s="227"/>
      <c r="D6" s="226"/>
      <c r="E6" s="226"/>
      <c r="F6" s="226"/>
      <c r="G6" s="226"/>
      <c r="H6" s="226"/>
    </row>
    <row r="7" spans="1:8" x14ac:dyDescent="0.25">
      <c r="A7" s="228" t="s">
        <v>13</v>
      </c>
      <c r="B7" s="228" t="s">
        <v>25</v>
      </c>
      <c r="C7" s="227"/>
      <c r="D7" s="226"/>
      <c r="E7" s="226"/>
      <c r="F7" s="226"/>
      <c r="G7" s="226"/>
      <c r="H7" s="226"/>
    </row>
    <row r="8" spans="1:8" x14ac:dyDescent="0.25">
      <c r="A8" s="228" t="s">
        <v>26</v>
      </c>
      <c r="B8" s="228" t="s">
        <v>27</v>
      </c>
      <c r="C8" s="226">
        <v>1066611.5900000001</v>
      </c>
      <c r="D8" s="226">
        <v>919983.56</v>
      </c>
      <c r="E8" s="226">
        <v>922651.51232400001</v>
      </c>
      <c r="F8" s="226">
        <v>950331.05769371998</v>
      </c>
      <c r="G8" s="226">
        <v>977890.658366838</v>
      </c>
      <c r="H8" s="226">
        <v>1005271.59680111</v>
      </c>
    </row>
    <row r="9" spans="1:8" x14ac:dyDescent="0.25">
      <c r="A9" s="228" t="s">
        <v>28</v>
      </c>
      <c r="B9" s="228" t="s">
        <v>14</v>
      </c>
      <c r="C9" s="226"/>
      <c r="D9" s="226"/>
      <c r="E9" s="226"/>
      <c r="F9" s="226"/>
      <c r="G9" s="226"/>
      <c r="H9" s="226"/>
    </row>
    <row r="10" spans="1:8" x14ac:dyDescent="0.25">
      <c r="A10" s="228" t="s">
        <v>15</v>
      </c>
      <c r="B10" s="228" t="s">
        <v>29</v>
      </c>
      <c r="C10" s="226">
        <v>1195313.24</v>
      </c>
      <c r="D10" s="226">
        <v>239700</v>
      </c>
      <c r="E10" s="226"/>
      <c r="F10" s="226">
        <v>246891</v>
      </c>
      <c r="G10" s="226"/>
      <c r="H10" s="226">
        <v>253803.948</v>
      </c>
    </row>
    <row r="11" spans="1:8" x14ac:dyDescent="0.25">
      <c r="A11" s="228" t="s">
        <v>16</v>
      </c>
      <c r="B11" s="228" t="s">
        <v>30</v>
      </c>
      <c r="C11" s="226"/>
      <c r="D11" s="226">
        <v>1184052</v>
      </c>
      <c r="E11" s="226">
        <v>2160013.4596836399</v>
      </c>
      <c r="F11" s="226">
        <v>2283919.13039415</v>
      </c>
      <c r="G11" s="226">
        <v>2412180.3564875801</v>
      </c>
      <c r="H11" s="226">
        <v>2553044.3737812298</v>
      </c>
    </row>
    <row r="12" spans="1:8" x14ac:dyDescent="0.25">
      <c r="A12" s="228" t="s">
        <v>31</v>
      </c>
      <c r="B12" s="228" t="s">
        <v>32</v>
      </c>
      <c r="C12" s="226"/>
      <c r="D12" s="226"/>
      <c r="E12" s="226"/>
      <c r="F12" s="226"/>
      <c r="G12" s="226"/>
      <c r="H12" s="226"/>
    </row>
    <row r="13" spans="1:8" x14ac:dyDescent="0.25">
      <c r="A13" s="228" t="s">
        <v>17</v>
      </c>
      <c r="B13" s="228" t="s">
        <v>33</v>
      </c>
      <c r="C13" s="226"/>
      <c r="D13" s="226"/>
      <c r="E13" s="226"/>
      <c r="F13" s="226"/>
      <c r="G13" s="226"/>
      <c r="H13" s="226"/>
    </row>
    <row r="14" spans="1:8" x14ac:dyDescent="0.25">
      <c r="A14" s="228" t="s">
        <v>18</v>
      </c>
      <c r="B14" s="228" t="s">
        <v>34</v>
      </c>
      <c r="C14" s="226"/>
      <c r="D14" s="226"/>
      <c r="E14" s="226"/>
      <c r="F14" s="226"/>
      <c r="G14" s="226"/>
      <c r="H14" s="226"/>
    </row>
    <row r="15" spans="1:8" x14ac:dyDescent="0.25">
      <c r="A15" s="228" t="s">
        <v>35</v>
      </c>
      <c r="B15" s="228" t="s">
        <v>36</v>
      </c>
      <c r="C15" s="226">
        <v>227613.2</v>
      </c>
      <c r="D15" s="226">
        <v>1500</v>
      </c>
      <c r="E15" s="226"/>
      <c r="F15" s="226"/>
      <c r="G15" s="226"/>
      <c r="H15" s="226"/>
    </row>
    <row r="16" spans="1:8" x14ac:dyDescent="0.25">
      <c r="A16" s="227" t="s">
        <v>0</v>
      </c>
      <c r="B16" s="227"/>
      <c r="C16" s="226">
        <f>SUM(C7:C15)</f>
        <v>2489538.0300000003</v>
      </c>
      <c r="D16" s="226">
        <f>SUM(D7:D15)</f>
        <v>2345235.56</v>
      </c>
      <c r="E16" s="226">
        <f>SUM(E7:E15)</f>
        <v>3082664.9720076397</v>
      </c>
      <c r="F16" s="226">
        <f>SUM(F7:F15)</f>
        <v>3481141.1880878699</v>
      </c>
      <c r="G16" s="226">
        <f>SUM(G7:G15)</f>
        <v>3390071.0148544181</v>
      </c>
      <c r="H16" s="226">
        <f>SUM(H7:H15)</f>
        <v>3812119.9185823398</v>
      </c>
    </row>
    <row r="17" spans="1:8" x14ac:dyDescent="0.25">
      <c r="A17" s="228"/>
      <c r="B17" s="228"/>
      <c r="C17" s="226"/>
      <c r="D17" s="226"/>
      <c r="E17" s="226"/>
      <c r="F17" s="226"/>
      <c r="G17" s="226"/>
      <c r="H17" s="226"/>
    </row>
    <row r="18" spans="1:8" x14ac:dyDescent="0.25">
      <c r="A18" s="239" t="s">
        <v>132</v>
      </c>
      <c r="B18" s="239"/>
      <c r="C18" s="238"/>
      <c r="D18" s="238"/>
      <c r="E18" s="238"/>
      <c r="F18" s="238"/>
      <c r="G18" s="238"/>
      <c r="H18" s="238"/>
    </row>
    <row r="19" spans="1:8" x14ac:dyDescent="0.25">
      <c r="A19" s="239" t="s">
        <v>147</v>
      </c>
      <c r="B19" s="239" t="s">
        <v>115</v>
      </c>
      <c r="C19" s="238">
        <v>1066611.5900000001</v>
      </c>
      <c r="D19" s="238">
        <v>919983.56</v>
      </c>
      <c r="E19" s="238">
        <v>922651.51232400001</v>
      </c>
      <c r="F19" s="238">
        <v>950331.05769371998</v>
      </c>
      <c r="G19" s="238">
        <v>977890.658366838</v>
      </c>
      <c r="H19" s="238">
        <v>1005271.59680111</v>
      </c>
    </row>
    <row r="20" spans="1:8" x14ac:dyDescent="0.25">
      <c r="A20" s="239" t="s">
        <v>148</v>
      </c>
      <c r="B20" s="239" t="s">
        <v>117</v>
      </c>
      <c r="C20" s="238">
        <v>1195313.24</v>
      </c>
      <c r="D20" s="238">
        <v>1423752</v>
      </c>
      <c r="E20" s="238">
        <v>2160013.4596836399</v>
      </c>
      <c r="F20" s="238">
        <v>2530810.13039415</v>
      </c>
      <c r="G20" s="238">
        <v>2412180.3564875801</v>
      </c>
      <c r="H20" s="238">
        <v>2806848.3217812302</v>
      </c>
    </row>
    <row r="21" spans="1:8" x14ac:dyDescent="0.25">
      <c r="A21" s="239" t="s">
        <v>114</v>
      </c>
      <c r="B21" s="239" t="s">
        <v>116</v>
      </c>
      <c r="C21" s="238">
        <v>2786969.47</v>
      </c>
      <c r="D21" s="238">
        <v>2345235.56</v>
      </c>
      <c r="E21" s="238">
        <v>3082664.9720076402</v>
      </c>
      <c r="F21" s="238">
        <v>3481141.1880878699</v>
      </c>
      <c r="G21" s="238">
        <v>3390071.0148544102</v>
      </c>
      <c r="H21" s="238">
        <v>3812119.9185823398</v>
      </c>
    </row>
    <row r="22" spans="1:8" x14ac:dyDescent="0.25">
      <c r="A22" s="228"/>
      <c r="B22" s="228"/>
      <c r="C22" s="227"/>
      <c r="D22" s="226"/>
      <c r="E22" s="226"/>
      <c r="F22" s="226"/>
      <c r="G22" s="226"/>
      <c r="H22" s="226"/>
    </row>
    <row r="23" spans="1:8" x14ac:dyDescent="0.25">
      <c r="A23" s="226" t="s">
        <v>149</v>
      </c>
      <c r="B23" s="228"/>
      <c r="C23" s="227"/>
      <c r="D23" s="226"/>
      <c r="E23" s="226"/>
      <c r="F23" s="226"/>
      <c r="G23" s="226"/>
      <c r="H23" s="226"/>
    </row>
    <row r="24" spans="1:8" x14ac:dyDescent="0.25">
      <c r="A24" s="228" t="s">
        <v>19</v>
      </c>
      <c r="B24" s="228" t="s">
        <v>37</v>
      </c>
      <c r="C24" s="227"/>
      <c r="D24" s="226"/>
      <c r="E24" s="226"/>
      <c r="F24" s="226"/>
      <c r="G24" s="226"/>
      <c r="H24" s="226"/>
    </row>
    <row r="25" spans="1:8" x14ac:dyDescent="0.25">
      <c r="A25" s="228" t="s">
        <v>23</v>
      </c>
      <c r="B25" s="228" t="s">
        <v>24</v>
      </c>
      <c r="C25" s="227"/>
      <c r="D25" s="226"/>
      <c r="E25" s="226"/>
      <c r="F25" s="226"/>
      <c r="G25" s="226"/>
      <c r="H25" s="226"/>
    </row>
    <row r="26" spans="1:8" x14ac:dyDescent="0.25">
      <c r="A26" s="228" t="s">
        <v>20</v>
      </c>
      <c r="B26" s="228" t="s">
        <v>38</v>
      </c>
      <c r="C26" s="227"/>
      <c r="D26" s="226"/>
      <c r="E26" s="226"/>
      <c r="F26" s="226"/>
      <c r="G26" s="226"/>
      <c r="H26" s="226"/>
    </row>
    <row r="27" spans="1:8" x14ac:dyDescent="0.25">
      <c r="A27" s="228" t="s">
        <v>21</v>
      </c>
      <c r="B27" s="228" t="s">
        <v>39</v>
      </c>
      <c r="C27" s="227"/>
      <c r="D27" s="226"/>
      <c r="E27" s="226"/>
      <c r="F27" s="226"/>
      <c r="G27" s="226"/>
      <c r="H27" s="226"/>
    </row>
    <row r="28" spans="1:8" x14ac:dyDescent="0.25">
      <c r="A28" s="228" t="s">
        <v>133</v>
      </c>
      <c r="B28" s="228" t="s">
        <v>40</v>
      </c>
      <c r="C28" s="226">
        <v>-2069060.58</v>
      </c>
      <c r="D28" s="226">
        <v>-2345235.486</v>
      </c>
      <c r="E28" s="226">
        <v>-3082664.9720076402</v>
      </c>
      <c r="F28" s="226">
        <v>-3481141.1880878699</v>
      </c>
      <c r="G28" s="226">
        <v>-3390071.0148544102</v>
      </c>
      <c r="H28" s="226">
        <v>-3812119.9185823398</v>
      </c>
    </row>
    <row r="29" spans="1:8" x14ac:dyDescent="0.25">
      <c r="A29" s="226" t="s">
        <v>155</v>
      </c>
      <c r="B29" s="226" t="s">
        <v>156</v>
      </c>
      <c r="C29" s="226">
        <v>-1273417.99</v>
      </c>
      <c r="D29" s="226">
        <v>-1312387.8259999999</v>
      </c>
      <c r="E29" s="226">
        <v>-2160013.4596836399</v>
      </c>
      <c r="F29" s="226">
        <v>-2283919.13039415</v>
      </c>
      <c r="G29" s="226">
        <v>-2412180.3564875801</v>
      </c>
      <c r="H29" s="226">
        <v>-2553044.3737812298</v>
      </c>
    </row>
    <row r="30" spans="1:8" x14ac:dyDescent="0.25">
      <c r="A30" s="228" t="s">
        <v>41</v>
      </c>
      <c r="B30" s="228" t="s">
        <v>42</v>
      </c>
      <c r="C30" s="226">
        <v>-516.46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</row>
    <row r="31" spans="1:8" x14ac:dyDescent="0.25">
      <c r="A31" s="228" t="s">
        <v>43</v>
      </c>
      <c r="B31" s="228" t="s">
        <v>44</v>
      </c>
      <c r="C31" s="226"/>
      <c r="D31" s="226"/>
      <c r="E31" s="226"/>
      <c r="F31" s="226"/>
      <c r="G31" s="226"/>
      <c r="H31" s="226"/>
    </row>
    <row r="32" spans="1:8" x14ac:dyDescent="0.25">
      <c r="A32" s="228" t="s">
        <v>45</v>
      </c>
      <c r="B32" s="228" t="s">
        <v>46</v>
      </c>
      <c r="C32" s="227"/>
      <c r="D32" s="227"/>
      <c r="E32" s="227"/>
      <c r="F32" s="227"/>
      <c r="G32" s="227"/>
      <c r="H32" s="227"/>
    </row>
    <row r="33" spans="1:8" x14ac:dyDescent="0.25">
      <c r="A33" s="228" t="s">
        <v>47</v>
      </c>
      <c r="B33" s="228" t="s">
        <v>48</v>
      </c>
      <c r="C33" s="227"/>
      <c r="D33" s="227"/>
      <c r="E33" s="227"/>
      <c r="F33" s="227"/>
      <c r="G33" s="227"/>
      <c r="H33" s="227"/>
    </row>
    <row r="34" spans="1:8" x14ac:dyDescent="0.25">
      <c r="A34" s="227" t="s">
        <v>1</v>
      </c>
      <c r="B34" s="227"/>
      <c r="C34" s="226">
        <f>SUM(C24:C28)+SUM(C30:C33)</f>
        <v>-2069577.04</v>
      </c>
      <c r="D34" s="226">
        <f>SUM(D24:D28)+SUM(D30:D33)</f>
        <v>-2345235.486</v>
      </c>
      <c r="E34" s="226">
        <f>SUM(E24:E28)+SUM(E30:E33)</f>
        <v>-3082664.9720076402</v>
      </c>
      <c r="F34" s="226">
        <f>SUM(F24:F28)+SUM(F30:F33)</f>
        <v>-3481141.1880878699</v>
      </c>
      <c r="G34" s="226">
        <f>SUM(G24:G28)+SUM(G30:G33)</f>
        <v>-3390071.0148544102</v>
      </c>
      <c r="H34" s="226">
        <f>SUM(H24:H28)+SUM(H30:H33)</f>
        <v>-3812119.9185823398</v>
      </c>
    </row>
    <row r="35" spans="1:8" x14ac:dyDescent="0.25">
      <c r="A35" s="227"/>
      <c r="B35" s="227"/>
      <c r="C35" s="226"/>
      <c r="D35" s="226"/>
      <c r="E35" s="226"/>
      <c r="F35" s="226"/>
      <c r="G35" s="226"/>
      <c r="H35" s="226"/>
    </row>
    <row r="36" spans="1:8" x14ac:dyDescent="0.25">
      <c r="A36" s="237" t="s">
        <v>150</v>
      </c>
      <c r="B36" s="237"/>
      <c r="C36" s="239"/>
      <c r="D36" s="239"/>
      <c r="E36" s="239"/>
      <c r="F36" s="239"/>
      <c r="G36" s="239"/>
      <c r="H36" s="239"/>
    </row>
    <row r="37" spans="1:8" x14ac:dyDescent="0.25">
      <c r="A37" s="237" t="s">
        <v>119</v>
      </c>
      <c r="B37" s="237" t="s">
        <v>118</v>
      </c>
      <c r="C37" s="239"/>
      <c r="D37" s="239"/>
      <c r="E37" s="239"/>
      <c r="F37" s="239"/>
      <c r="G37" s="239"/>
      <c r="H37" s="239"/>
    </row>
    <row r="38" spans="1:8" x14ac:dyDescent="0.25">
      <c r="A38" s="237" t="s">
        <v>133</v>
      </c>
      <c r="B38" s="237" t="s">
        <v>134</v>
      </c>
      <c r="C38" s="238">
        <v>-2069060.58</v>
      </c>
      <c r="D38" s="238">
        <v>-2345235.486</v>
      </c>
      <c r="E38" s="238">
        <v>-3082664.9720076402</v>
      </c>
      <c r="F38" s="238">
        <v>-3481141.1880878699</v>
      </c>
      <c r="G38" s="238">
        <v>-3390071.0148544102</v>
      </c>
      <c r="H38" s="238">
        <v>-3812119.9185823398</v>
      </c>
    </row>
    <row r="39" spans="1:8" x14ac:dyDescent="0.25">
      <c r="A39" s="237" t="s">
        <v>136</v>
      </c>
      <c r="B39" s="237" t="s">
        <v>135</v>
      </c>
      <c r="C39" s="238">
        <v>-146762.29999999999</v>
      </c>
      <c r="D39" s="238">
        <v>-173489.56</v>
      </c>
      <c r="E39" s="238">
        <v>-202109.56</v>
      </c>
      <c r="F39" s="238">
        <v>-206189.56</v>
      </c>
      <c r="G39" s="238">
        <v>-200000</v>
      </c>
      <c r="H39" s="238">
        <v>-200000</v>
      </c>
    </row>
    <row r="40" spans="1:8" x14ac:dyDescent="0.25">
      <c r="A40" s="237" t="s">
        <v>138</v>
      </c>
      <c r="B40" s="237" t="s">
        <v>120</v>
      </c>
      <c r="C40" s="238">
        <v>-148949.56</v>
      </c>
      <c r="D40" s="238">
        <v>-173489.56</v>
      </c>
      <c r="E40" s="238">
        <v>-202109.56</v>
      </c>
      <c r="F40" s="238">
        <v>-206189.56</v>
      </c>
      <c r="G40" s="238">
        <v>-200000</v>
      </c>
      <c r="H40" s="238">
        <v>-200000</v>
      </c>
    </row>
    <row r="41" spans="1:8" x14ac:dyDescent="0.25">
      <c r="A41" s="237" t="s">
        <v>113</v>
      </c>
      <c r="B41" s="237" t="s">
        <v>137</v>
      </c>
      <c r="C41" s="239">
        <f>SUM(C37:C39)</f>
        <v>-2215822.88</v>
      </c>
      <c r="D41" s="239">
        <f>SUM(D37:D39)</f>
        <v>-2518725.0460000001</v>
      </c>
      <c r="E41" s="239">
        <f>SUM(E37:E39)</f>
        <v>-3284774.5320076402</v>
      </c>
      <c r="F41" s="239">
        <f>SUM(F37:F39)</f>
        <v>-3687330.74808787</v>
      </c>
      <c r="G41" s="239">
        <f>SUM(G37:G39)</f>
        <v>-3590071.0148544102</v>
      </c>
      <c r="H41" s="239">
        <f>SUM(H37:H39)</f>
        <v>-4012119.9185823398</v>
      </c>
    </row>
    <row r="42" spans="1:8" x14ac:dyDescent="0.25">
      <c r="A42" s="227"/>
      <c r="B42" s="227"/>
      <c r="C42" s="227"/>
      <c r="D42" s="226"/>
      <c r="E42" s="226"/>
      <c r="F42" s="226"/>
      <c r="G42" s="226"/>
      <c r="H42" s="226"/>
    </row>
    <row r="43" spans="1:8" x14ac:dyDescent="0.25">
      <c r="A43" s="225" t="s">
        <v>2</v>
      </c>
      <c r="B43" s="225"/>
      <c r="C43" s="224">
        <f>C16+C34</f>
        <v>419960.99000000022</v>
      </c>
      <c r="D43" s="224">
        <f>D16+D34</f>
        <v>7.4000000022351742E-2</v>
      </c>
      <c r="E43" s="224">
        <f>E16+E34</f>
        <v>0</v>
      </c>
      <c r="F43" s="224">
        <f>F16+F34</f>
        <v>0</v>
      </c>
      <c r="G43" s="224">
        <f>G16+G34</f>
        <v>7.9162418842315674E-9</v>
      </c>
      <c r="H43" s="224">
        <f>H16+H34</f>
        <v>0</v>
      </c>
    </row>
    <row r="44" spans="1:8" x14ac:dyDescent="0.25">
      <c r="A44" s="223" t="s">
        <v>3</v>
      </c>
      <c r="B44" s="223"/>
      <c r="C44" s="230">
        <f>C43/C16</f>
        <v>0.16869032926562691</v>
      </c>
      <c r="D44" s="230">
        <f>D43/D16</f>
        <v>3.1553333611550623E-8</v>
      </c>
      <c r="E44" s="230">
        <f>E43/E16</f>
        <v>0</v>
      </c>
      <c r="F44" s="230">
        <f>F43/F16</f>
        <v>0</v>
      </c>
      <c r="G44" s="230">
        <f>G43/G16</f>
        <v>2.3351256801242907E-15</v>
      </c>
      <c r="H44" s="230">
        <f>H43/H16</f>
        <v>0</v>
      </c>
    </row>
    <row r="45" spans="1:8" x14ac:dyDescent="0.25">
      <c r="A45" s="223"/>
      <c r="B45" s="223"/>
      <c r="C45" s="229"/>
      <c r="D45" s="229"/>
      <c r="E45" s="229"/>
      <c r="F45" s="229"/>
      <c r="G45" s="229"/>
      <c r="H45" s="229"/>
    </row>
    <row r="46" spans="1:8" x14ac:dyDescent="0.25">
      <c r="A46" s="240" t="s">
        <v>130</v>
      </c>
      <c r="B46" s="240" t="s">
        <v>141</v>
      </c>
      <c r="C46" s="241">
        <f>C21+C41</f>
        <v>571146.59000000032</v>
      </c>
      <c r="D46" s="241">
        <f>D21+D41</f>
        <v>-173489.48600000003</v>
      </c>
      <c r="E46" s="241">
        <f>E21+E41</f>
        <v>-202109.56000000006</v>
      </c>
      <c r="F46" s="241">
        <f>F21+F41</f>
        <v>-206189.56000000006</v>
      </c>
      <c r="G46" s="241">
        <f>G21+G41</f>
        <v>-200000</v>
      </c>
      <c r="H46" s="241">
        <f>H21+H41</f>
        <v>-200000</v>
      </c>
    </row>
    <row r="47" spans="1:8" x14ac:dyDescent="0.25">
      <c r="A47" s="223"/>
      <c r="B47" s="223"/>
      <c r="C47" s="229"/>
      <c r="D47" s="229"/>
      <c r="E47" s="229"/>
      <c r="F47" s="229"/>
      <c r="G47" s="229"/>
      <c r="H47" s="229"/>
    </row>
    <row r="48" spans="1:8" x14ac:dyDescent="0.25">
      <c r="A48" s="227" t="s">
        <v>151</v>
      </c>
      <c r="B48" s="227"/>
      <c r="C48" s="227"/>
      <c r="D48" s="226"/>
      <c r="E48" s="226"/>
      <c r="F48" s="226"/>
      <c r="G48" s="226"/>
      <c r="H48" s="226"/>
    </row>
    <row r="49" spans="1:8" x14ac:dyDescent="0.25">
      <c r="A49" s="226" t="s">
        <v>197</v>
      </c>
      <c r="B49" s="227"/>
      <c r="C49" s="226">
        <v>-332034.46999999997</v>
      </c>
      <c r="D49" s="226">
        <v>-1975159.57</v>
      </c>
      <c r="E49" s="226">
        <v>-299000</v>
      </c>
      <c r="F49" s="226">
        <v>-204000</v>
      </c>
      <c r="G49" s="226">
        <v>0</v>
      </c>
      <c r="H49" s="226">
        <v>0</v>
      </c>
    </row>
    <row r="50" spans="1:8" x14ac:dyDescent="0.25">
      <c r="A50" s="226" t="s">
        <v>142</v>
      </c>
      <c r="B50" s="227"/>
      <c r="C50" s="226"/>
      <c r="D50" s="226"/>
      <c r="E50" s="226"/>
      <c r="F50" s="226"/>
      <c r="G50" s="226"/>
      <c r="H50" s="226"/>
    </row>
    <row r="51" spans="1:8" x14ac:dyDescent="0.25">
      <c r="A51" s="226" t="s">
        <v>4</v>
      </c>
      <c r="B51" s="227"/>
      <c r="C51" s="226">
        <v>297431.44</v>
      </c>
      <c r="D51" s="226">
        <v>1831058.55</v>
      </c>
      <c r="E51" s="226">
        <v>299000</v>
      </c>
      <c r="F51" s="226">
        <v>204000</v>
      </c>
      <c r="G51" s="226">
        <v>0</v>
      </c>
      <c r="H51" s="226">
        <v>0</v>
      </c>
    </row>
    <row r="52" spans="1:8" x14ac:dyDescent="0.25">
      <c r="A52" s="226" t="s">
        <v>5</v>
      </c>
      <c r="B52" s="227"/>
      <c r="C52" s="227"/>
      <c r="D52" s="226"/>
      <c r="E52" s="226"/>
      <c r="F52" s="226"/>
      <c r="G52" s="226"/>
      <c r="H52" s="226"/>
    </row>
    <row r="53" spans="1:8" x14ac:dyDescent="0.25">
      <c r="A53" s="226" t="s">
        <v>143</v>
      </c>
      <c r="B53" s="227"/>
      <c r="C53" s="227"/>
      <c r="D53" s="226"/>
      <c r="E53" s="226"/>
      <c r="F53" s="226"/>
      <c r="G53" s="226"/>
      <c r="H53" s="226"/>
    </row>
    <row r="54" spans="1:8" x14ac:dyDescent="0.25">
      <c r="A54" s="226" t="s">
        <v>196</v>
      </c>
      <c r="B54" s="227"/>
      <c r="C54" s="227"/>
      <c r="D54" s="226"/>
      <c r="E54" s="226"/>
      <c r="F54" s="226"/>
      <c r="G54" s="226"/>
      <c r="H54" s="226"/>
    </row>
    <row r="55" spans="1:8" x14ac:dyDescent="0.25">
      <c r="A55" s="226" t="s">
        <v>144</v>
      </c>
      <c r="B55" s="227"/>
      <c r="C55" s="227"/>
      <c r="D55" s="226"/>
      <c r="E55" s="226"/>
      <c r="F55" s="226"/>
      <c r="G55" s="226"/>
      <c r="H55" s="226"/>
    </row>
    <row r="56" spans="1:8" x14ac:dyDescent="0.25">
      <c r="A56" s="226" t="s">
        <v>109</v>
      </c>
      <c r="B56" s="227"/>
      <c r="C56" s="227"/>
      <c r="D56" s="226"/>
      <c r="E56" s="226"/>
      <c r="F56" s="226"/>
      <c r="G56" s="226"/>
      <c r="H56" s="226"/>
    </row>
    <row r="57" spans="1:8" x14ac:dyDescent="0.25">
      <c r="A57" s="226" t="s">
        <v>145</v>
      </c>
      <c r="B57" s="227"/>
      <c r="C57" s="227"/>
      <c r="D57" s="226"/>
      <c r="E57" s="226"/>
      <c r="F57" s="226"/>
      <c r="G57" s="226"/>
      <c r="H57" s="226"/>
    </row>
    <row r="58" spans="1:8" x14ac:dyDescent="0.25">
      <c r="A58" s="226" t="s">
        <v>195</v>
      </c>
      <c r="B58" s="227"/>
      <c r="C58" s="227"/>
      <c r="D58" s="226"/>
      <c r="E58" s="226"/>
      <c r="F58" s="226"/>
      <c r="G58" s="226"/>
      <c r="H58" s="226"/>
    </row>
    <row r="59" spans="1:8" x14ac:dyDescent="0.25">
      <c r="A59" s="226" t="s">
        <v>146</v>
      </c>
      <c r="B59" s="227"/>
      <c r="C59" s="227"/>
      <c r="D59" s="226"/>
      <c r="E59" s="226"/>
      <c r="F59" s="226"/>
      <c r="G59" s="226"/>
      <c r="H59" s="226"/>
    </row>
    <row r="60" spans="1:8" x14ac:dyDescent="0.25">
      <c r="A60" s="226" t="s">
        <v>194</v>
      </c>
      <c r="B60" s="227"/>
      <c r="C60" s="226">
        <v>2703.72</v>
      </c>
      <c r="D60" s="226">
        <v>1500</v>
      </c>
      <c r="E60" s="226">
        <v>1500</v>
      </c>
      <c r="F60" s="226">
        <v>1500</v>
      </c>
      <c r="G60" s="226">
        <v>1500</v>
      </c>
      <c r="H60" s="226">
        <v>1500</v>
      </c>
    </row>
    <row r="61" spans="1:8" x14ac:dyDescent="0.25">
      <c r="A61" s="226" t="s">
        <v>193</v>
      </c>
      <c r="B61" s="227"/>
      <c r="C61" s="227"/>
      <c r="D61" s="226"/>
      <c r="E61" s="226"/>
      <c r="F61" s="226"/>
      <c r="G61" s="226"/>
      <c r="H61" s="226"/>
    </row>
    <row r="62" spans="1:8" x14ac:dyDescent="0.25">
      <c r="A62" s="227" t="s">
        <v>6</v>
      </c>
      <c r="B62" s="227"/>
      <c r="C62" s="226">
        <f>SUM(C49:C61)</f>
        <v>-31899.309999999969</v>
      </c>
      <c r="D62" s="226">
        <f>SUM(D49:D61)</f>
        <v>-142601.02000000002</v>
      </c>
      <c r="E62" s="226">
        <f>SUM(E49:E61)</f>
        <v>1500</v>
      </c>
      <c r="F62" s="226">
        <f>SUM(F49:F61)</f>
        <v>1500</v>
      </c>
      <c r="G62" s="226">
        <f>SUM(G49:G61)</f>
        <v>1500</v>
      </c>
      <c r="H62" s="226">
        <f>SUM(H49:H61)</f>
        <v>1500</v>
      </c>
    </row>
    <row r="63" spans="1:8" x14ac:dyDescent="0.25">
      <c r="A63" s="227"/>
      <c r="B63" s="227"/>
      <c r="C63" s="227"/>
      <c r="D63" s="226"/>
      <c r="E63" s="226"/>
      <c r="F63" s="226"/>
      <c r="G63" s="226"/>
      <c r="H63" s="226"/>
    </row>
    <row r="64" spans="1:8" x14ac:dyDescent="0.25">
      <c r="A64" s="225" t="s">
        <v>7</v>
      </c>
      <c r="B64" s="225"/>
      <c r="C64" s="224">
        <f>C43+C62</f>
        <v>388061.68000000028</v>
      </c>
      <c r="D64" s="224">
        <f>D43+D62</f>
        <v>-142600.946</v>
      </c>
      <c r="E64" s="224">
        <f>E43+E62</f>
        <v>1500</v>
      </c>
      <c r="F64" s="224">
        <f>F43+F62</f>
        <v>1500</v>
      </c>
      <c r="G64" s="224">
        <f>G43+G62</f>
        <v>1500.0000000079162</v>
      </c>
      <c r="H64" s="224">
        <f>H43+H62</f>
        <v>1500</v>
      </c>
    </row>
    <row r="65" spans="1:8" x14ac:dyDescent="0.25">
      <c r="A65" s="227"/>
      <c r="B65" s="227"/>
      <c r="C65" s="227"/>
      <c r="D65" s="226"/>
      <c r="E65" s="226"/>
      <c r="F65" s="226"/>
      <c r="G65" s="226"/>
      <c r="H65" s="226"/>
    </row>
    <row r="66" spans="1:8" x14ac:dyDescent="0.25">
      <c r="A66" s="227" t="s">
        <v>93</v>
      </c>
      <c r="B66" s="227"/>
      <c r="C66" s="227"/>
      <c r="D66" s="226"/>
      <c r="E66" s="226"/>
      <c r="F66" s="226"/>
      <c r="G66" s="226"/>
      <c r="H66" s="226"/>
    </row>
    <row r="67" spans="1:8" x14ac:dyDescent="0.25">
      <c r="A67" s="228" t="s">
        <v>59</v>
      </c>
      <c r="B67" s="228" t="s">
        <v>50</v>
      </c>
      <c r="C67" s="227"/>
      <c r="D67" s="227"/>
      <c r="E67" s="227"/>
      <c r="F67" s="227"/>
      <c r="G67" s="227"/>
      <c r="H67" s="227"/>
    </row>
    <row r="68" spans="1:8" x14ac:dyDescent="0.25">
      <c r="A68" s="228" t="s">
        <v>60</v>
      </c>
      <c r="B68" s="226" t="s">
        <v>129</v>
      </c>
      <c r="C68" s="227"/>
      <c r="D68" s="227"/>
      <c r="E68" s="227"/>
      <c r="F68" s="227"/>
      <c r="G68" s="227"/>
      <c r="H68" s="227"/>
    </row>
    <row r="69" spans="1:8" ht="60" x14ac:dyDescent="0.25">
      <c r="A69" s="228" t="s">
        <v>61</v>
      </c>
      <c r="B69" s="227" t="s">
        <v>51</v>
      </c>
      <c r="C69" s="227"/>
      <c r="D69" s="226"/>
      <c r="E69" s="226"/>
      <c r="F69" s="226"/>
      <c r="G69" s="226"/>
      <c r="H69" s="226"/>
    </row>
    <row r="70" spans="1:8" x14ac:dyDescent="0.25">
      <c r="A70" s="228" t="s">
        <v>52</v>
      </c>
      <c r="B70" s="228" t="s">
        <v>62</v>
      </c>
      <c r="C70" s="227"/>
      <c r="D70" s="226"/>
      <c r="E70" s="226"/>
      <c r="F70" s="226"/>
      <c r="G70" s="226"/>
      <c r="H70" s="226"/>
    </row>
    <row r="71" spans="1:8" x14ac:dyDescent="0.25">
      <c r="A71" s="228" t="s">
        <v>63</v>
      </c>
      <c r="B71" s="228" t="s">
        <v>64</v>
      </c>
      <c r="C71" s="227"/>
      <c r="D71" s="226"/>
      <c r="E71" s="226"/>
      <c r="F71" s="226"/>
      <c r="G71" s="226"/>
      <c r="H71" s="226"/>
    </row>
    <row r="72" spans="1:8" x14ac:dyDescent="0.25">
      <c r="A72" s="228" t="s">
        <v>65</v>
      </c>
      <c r="B72" s="228" t="s">
        <v>66</v>
      </c>
      <c r="C72" s="227"/>
      <c r="D72" s="226"/>
      <c r="E72" s="226"/>
      <c r="F72" s="226"/>
      <c r="G72" s="226"/>
      <c r="H72" s="226"/>
    </row>
    <row r="73" spans="1:8" x14ac:dyDescent="0.25">
      <c r="A73" s="228" t="s">
        <v>67</v>
      </c>
      <c r="B73" s="228" t="s">
        <v>68</v>
      </c>
      <c r="C73" s="227"/>
      <c r="D73" s="226"/>
      <c r="E73" s="226"/>
      <c r="F73" s="226"/>
      <c r="G73" s="226"/>
      <c r="H73" s="226"/>
    </row>
    <row r="74" spans="1:8" x14ac:dyDescent="0.25">
      <c r="A74" s="228" t="s">
        <v>53</v>
      </c>
      <c r="B74" s="228" t="s">
        <v>69</v>
      </c>
      <c r="C74" s="227"/>
      <c r="D74" s="226"/>
      <c r="E74" s="226"/>
      <c r="F74" s="226"/>
      <c r="G74" s="226"/>
      <c r="H74" s="226"/>
    </row>
    <row r="75" spans="1:8" x14ac:dyDescent="0.25">
      <c r="A75" s="228" t="s">
        <v>70</v>
      </c>
      <c r="B75" s="228" t="s">
        <v>71</v>
      </c>
      <c r="C75" s="227"/>
      <c r="D75" s="226"/>
      <c r="E75" s="226"/>
      <c r="F75" s="226"/>
      <c r="G75" s="226"/>
      <c r="H75" s="226"/>
    </row>
    <row r="76" spans="1:8" x14ac:dyDescent="0.25">
      <c r="A76" s="228" t="s">
        <v>54</v>
      </c>
      <c r="B76" s="228" t="s">
        <v>58</v>
      </c>
      <c r="C76" s="227"/>
      <c r="D76" s="226"/>
      <c r="E76" s="226"/>
      <c r="F76" s="226"/>
      <c r="G76" s="226"/>
      <c r="H76" s="226"/>
    </row>
    <row r="77" spans="1:8" x14ac:dyDescent="0.25">
      <c r="A77" s="228" t="s">
        <v>55</v>
      </c>
      <c r="B77" s="228" t="s">
        <v>72</v>
      </c>
      <c r="C77" s="227"/>
      <c r="D77" s="226"/>
      <c r="E77" s="226"/>
      <c r="F77" s="226"/>
      <c r="G77" s="226"/>
      <c r="H77" s="226"/>
    </row>
    <row r="78" spans="1:8" ht="45" x14ac:dyDescent="0.25">
      <c r="A78" s="228" t="s">
        <v>73</v>
      </c>
      <c r="B78" s="227" t="s">
        <v>74</v>
      </c>
      <c r="C78" s="227"/>
      <c r="D78" s="226"/>
      <c r="E78" s="226"/>
      <c r="F78" s="226"/>
      <c r="G78" s="226"/>
      <c r="H78" s="226"/>
    </row>
    <row r="79" spans="1:8" x14ac:dyDescent="0.25">
      <c r="A79" s="228" t="s">
        <v>56</v>
      </c>
      <c r="B79" s="228" t="s">
        <v>75</v>
      </c>
      <c r="C79" s="227"/>
      <c r="D79" s="226"/>
      <c r="E79" s="226"/>
      <c r="F79" s="226"/>
      <c r="G79" s="226"/>
      <c r="H79" s="226"/>
    </row>
    <row r="80" spans="1:8" x14ac:dyDescent="0.25">
      <c r="A80" s="228" t="s">
        <v>192</v>
      </c>
      <c r="B80" s="228" t="s">
        <v>77</v>
      </c>
      <c r="C80" s="228">
        <v>896078.17</v>
      </c>
      <c r="D80" s="226">
        <v>0</v>
      </c>
      <c r="E80" s="226">
        <v>0</v>
      </c>
      <c r="F80" s="226">
        <v>0</v>
      </c>
      <c r="G80" s="226">
        <v>0</v>
      </c>
      <c r="H80" s="226">
        <v>0</v>
      </c>
    </row>
    <row r="81" spans="1:8" x14ac:dyDescent="0.25">
      <c r="A81" s="228" t="s">
        <v>57</v>
      </c>
      <c r="B81" s="228" t="s">
        <v>78</v>
      </c>
      <c r="C81" s="227"/>
      <c r="D81" s="226"/>
      <c r="E81" s="226"/>
      <c r="F81" s="226"/>
      <c r="G81" s="226"/>
      <c r="H81" s="226"/>
    </row>
    <row r="82" spans="1:8" x14ac:dyDescent="0.25">
      <c r="A82" s="227" t="s">
        <v>8</v>
      </c>
      <c r="B82" s="227"/>
      <c r="C82" s="226">
        <f>SUM(C67:C81)</f>
        <v>896078.17</v>
      </c>
      <c r="D82" s="226">
        <f>SUM(D67:D81)</f>
        <v>0</v>
      </c>
      <c r="E82" s="226">
        <f>SUM(E67:E81)</f>
        <v>0</v>
      </c>
      <c r="F82" s="226">
        <f>SUM(F67:F81)</f>
        <v>0</v>
      </c>
      <c r="G82" s="226">
        <f>SUM(G67:G81)</f>
        <v>0</v>
      </c>
      <c r="H82" s="226">
        <f>SUM(H67:H81)</f>
        <v>0</v>
      </c>
    </row>
    <row r="83" spans="1:8" x14ac:dyDescent="0.25">
      <c r="A83" s="227"/>
      <c r="B83" s="227"/>
      <c r="C83" s="227"/>
      <c r="D83" s="226"/>
      <c r="E83" s="226"/>
      <c r="F83" s="226"/>
      <c r="G83" s="226"/>
      <c r="H83" s="226"/>
    </row>
    <row r="84" spans="1:8" x14ac:dyDescent="0.25">
      <c r="A84" s="237" t="s">
        <v>125</v>
      </c>
      <c r="B84" s="239" t="s">
        <v>191</v>
      </c>
      <c r="C84" s="238">
        <v>1290438.18</v>
      </c>
      <c r="D84" s="238">
        <v>497763.66666666698</v>
      </c>
      <c r="E84" s="238">
        <v>497763.66666666698</v>
      </c>
      <c r="F84" s="238">
        <v>497763.66666666698</v>
      </c>
      <c r="G84" s="238">
        <v>497763.66666666698</v>
      </c>
      <c r="H84" s="238">
        <v>497763.66666666698</v>
      </c>
    </row>
    <row r="85" spans="1:8" x14ac:dyDescent="0.25">
      <c r="A85" s="227"/>
      <c r="B85" s="227"/>
      <c r="C85" s="227"/>
      <c r="D85" s="226"/>
      <c r="E85" s="226"/>
      <c r="F85" s="226"/>
      <c r="G85" s="226"/>
      <c r="H85" s="226"/>
    </row>
    <row r="86" spans="1:8" x14ac:dyDescent="0.25">
      <c r="A86" s="227" t="s">
        <v>152</v>
      </c>
      <c r="B86" s="227"/>
      <c r="C86" s="227"/>
      <c r="D86" s="226"/>
      <c r="E86" s="226"/>
      <c r="F86" s="226"/>
      <c r="G86" s="226"/>
      <c r="H86" s="226"/>
    </row>
    <row r="87" spans="1:8" x14ac:dyDescent="0.25">
      <c r="A87" s="226" t="s">
        <v>9</v>
      </c>
      <c r="B87" s="226" t="s">
        <v>190</v>
      </c>
      <c r="C87" s="226">
        <v>-2025669.31</v>
      </c>
      <c r="D87" s="226">
        <v>-650841.33333333302</v>
      </c>
      <c r="E87" s="226">
        <v>-650841.33333333302</v>
      </c>
      <c r="F87" s="226">
        <v>-650841.33333333302</v>
      </c>
      <c r="G87" s="226">
        <v>-650841.33333333302</v>
      </c>
      <c r="H87" s="226">
        <v>-650841.33333333302</v>
      </c>
    </row>
    <row r="88" spans="1:8" x14ac:dyDescent="0.25">
      <c r="A88" s="228" t="s">
        <v>88</v>
      </c>
      <c r="B88" s="226" t="s">
        <v>189</v>
      </c>
      <c r="C88" s="227"/>
      <c r="D88" s="226"/>
      <c r="E88" s="226"/>
      <c r="F88" s="226"/>
      <c r="G88" s="226"/>
      <c r="H88" s="226"/>
    </row>
    <row r="89" spans="1:8" x14ac:dyDescent="0.25">
      <c r="A89" s="228" t="s">
        <v>88</v>
      </c>
      <c r="B89" s="226" t="s">
        <v>188</v>
      </c>
      <c r="C89" s="227"/>
      <c r="D89" s="226"/>
      <c r="E89" s="226"/>
      <c r="F89" s="226"/>
      <c r="G89" s="226"/>
      <c r="H89" s="226"/>
    </row>
    <row r="90" spans="1:8" x14ac:dyDescent="0.25">
      <c r="A90" s="228" t="s">
        <v>89</v>
      </c>
      <c r="B90" s="226" t="s">
        <v>187</v>
      </c>
      <c r="C90" s="227"/>
      <c r="D90" s="226"/>
      <c r="E90" s="226"/>
      <c r="F90" s="226"/>
      <c r="G90" s="226"/>
      <c r="H90" s="226"/>
    </row>
    <row r="91" spans="1:8" x14ac:dyDescent="0.25">
      <c r="A91" s="228" t="s">
        <v>90</v>
      </c>
      <c r="B91" s="226" t="s">
        <v>186</v>
      </c>
      <c r="C91" s="227"/>
      <c r="D91" s="226"/>
      <c r="E91" s="226"/>
      <c r="F91" s="226"/>
      <c r="G91" s="226"/>
      <c r="H91" s="226"/>
    </row>
    <row r="92" spans="1:8" x14ac:dyDescent="0.25">
      <c r="A92" s="228" t="s">
        <v>79</v>
      </c>
      <c r="B92" s="226" t="s">
        <v>185</v>
      </c>
      <c r="C92" s="227"/>
      <c r="D92" s="226"/>
      <c r="E92" s="226"/>
      <c r="F92" s="226"/>
      <c r="G92" s="226"/>
      <c r="H92" s="226"/>
    </row>
    <row r="93" spans="1:8" x14ac:dyDescent="0.25">
      <c r="A93" s="228" t="s">
        <v>91</v>
      </c>
      <c r="B93" s="226" t="s">
        <v>184</v>
      </c>
      <c r="C93" s="227"/>
      <c r="D93" s="226"/>
      <c r="E93" s="226"/>
      <c r="F93" s="226"/>
      <c r="G93" s="226"/>
      <c r="H93" s="226"/>
    </row>
    <row r="94" spans="1:8" x14ac:dyDescent="0.25">
      <c r="A94" s="228" t="s">
        <v>92</v>
      </c>
      <c r="B94" s="226" t="s">
        <v>183</v>
      </c>
      <c r="C94" s="227"/>
      <c r="D94" s="226"/>
      <c r="E94" s="226"/>
      <c r="F94" s="226"/>
      <c r="G94" s="226"/>
      <c r="H94" s="226"/>
    </row>
    <row r="95" spans="1:8" x14ac:dyDescent="0.25">
      <c r="A95" s="227" t="s">
        <v>10</v>
      </c>
      <c r="B95" s="227"/>
      <c r="C95" s="226">
        <f>SUM(C87:C94)</f>
        <v>-2025669.31</v>
      </c>
      <c r="D95" s="226">
        <f>SUM(D87:D94)</f>
        <v>-650841.33333333302</v>
      </c>
      <c r="E95" s="226">
        <f>SUM(E87:E94)</f>
        <v>-650841.33333333302</v>
      </c>
      <c r="F95" s="226">
        <f>SUM(F87:F94)</f>
        <v>-650841.33333333302</v>
      </c>
      <c r="G95" s="226">
        <f>SUM(G87:G94)</f>
        <v>-650841.33333333302</v>
      </c>
      <c r="H95" s="226">
        <f>SUM(H87:H94)</f>
        <v>-650841.33333333302</v>
      </c>
    </row>
    <row r="96" spans="1:8" x14ac:dyDescent="0.25">
      <c r="A96" s="227"/>
      <c r="B96" s="227"/>
      <c r="C96" s="227"/>
      <c r="D96" s="226"/>
      <c r="E96" s="226"/>
      <c r="F96" s="226"/>
      <c r="G96" s="226"/>
      <c r="H96" s="226"/>
    </row>
    <row r="97" spans="1:8" x14ac:dyDescent="0.25">
      <c r="A97" s="237" t="s">
        <v>121</v>
      </c>
      <c r="B97" s="237" t="s">
        <v>126</v>
      </c>
      <c r="C97" s="238">
        <v>2148717.7599999998</v>
      </c>
      <c r="D97" s="238">
        <v>913655</v>
      </c>
      <c r="E97" s="238">
        <v>913655</v>
      </c>
      <c r="F97" s="238">
        <v>913655</v>
      </c>
      <c r="G97" s="238">
        <v>913655</v>
      </c>
      <c r="H97" s="238">
        <v>913655</v>
      </c>
    </row>
    <row r="98" spans="1:8" x14ac:dyDescent="0.25">
      <c r="A98" s="237" t="s">
        <v>122</v>
      </c>
      <c r="B98" s="237" t="s">
        <v>127</v>
      </c>
      <c r="C98" s="238">
        <v>3210455.95</v>
      </c>
      <c r="D98" s="238">
        <v>5549943.9500000002</v>
      </c>
      <c r="E98" s="238">
        <v>5749863.9500000002</v>
      </c>
      <c r="F98" s="238">
        <v>5949783.9500000002</v>
      </c>
      <c r="G98" s="238">
        <v>5949783.9500000002</v>
      </c>
      <c r="H98" s="238">
        <v>5949783.9500000002</v>
      </c>
    </row>
    <row r="99" spans="1:8" x14ac:dyDescent="0.25">
      <c r="A99" s="237" t="s">
        <v>131</v>
      </c>
      <c r="B99" s="237"/>
      <c r="C99" s="237"/>
      <c r="D99" s="239"/>
      <c r="E99" s="239"/>
      <c r="F99" s="239"/>
      <c r="G99" s="239"/>
      <c r="H99" s="239"/>
    </row>
    <row r="100" spans="1:8" x14ac:dyDescent="0.25">
      <c r="A100" s="237" t="s">
        <v>123</v>
      </c>
      <c r="B100" s="237" t="s">
        <v>128</v>
      </c>
      <c r="C100" s="237">
        <f>C97+C98</f>
        <v>5359173.71</v>
      </c>
      <c r="D100" s="237">
        <f>D97+D98</f>
        <v>6463598.9500000002</v>
      </c>
      <c r="E100" s="237">
        <f>E97+E98</f>
        <v>6663518.9500000002</v>
      </c>
      <c r="F100" s="237">
        <f>F97+F98</f>
        <v>6863438.9500000002</v>
      </c>
      <c r="G100" s="237">
        <f>G97+G98</f>
        <v>6863438.9500000002</v>
      </c>
      <c r="H100" s="237">
        <f>H97+H98</f>
        <v>6863438.9500000002</v>
      </c>
    </row>
    <row r="101" spans="1:8" x14ac:dyDescent="0.25">
      <c r="A101" s="227"/>
      <c r="B101" s="227"/>
      <c r="C101" s="227"/>
      <c r="D101" s="226"/>
      <c r="E101" s="226"/>
      <c r="F101" s="226"/>
      <c r="G101" s="226"/>
      <c r="H101" s="226"/>
    </row>
    <row r="102" spans="1:8" x14ac:dyDescent="0.25">
      <c r="A102" s="225" t="s">
        <v>11</v>
      </c>
      <c r="B102" s="225"/>
      <c r="C102" s="224">
        <f>C82+C95</f>
        <v>-1129591.1400000001</v>
      </c>
      <c r="D102" s="224">
        <f>D82+D95</f>
        <v>-650841.33333333302</v>
      </c>
      <c r="E102" s="224">
        <f>E82+E95</f>
        <v>-650841.33333333302</v>
      </c>
      <c r="F102" s="224">
        <f>F82+F95</f>
        <v>-650841.33333333302</v>
      </c>
      <c r="G102" s="224">
        <f>G82+G95</f>
        <v>-650841.33333333302</v>
      </c>
      <c r="H102" s="224">
        <f>H82+H95</f>
        <v>-650841.33333333302</v>
      </c>
    </row>
    <row r="103" spans="1:8" x14ac:dyDescent="0.25">
      <c r="A103" s="223" t="s">
        <v>3</v>
      </c>
      <c r="B103" s="223"/>
      <c r="C103" s="230">
        <f>C102/C16</f>
        <v>-0.45373524179504099</v>
      </c>
      <c r="D103" s="230">
        <f>D102/D16</f>
        <v>-0.27751640152229867</v>
      </c>
      <c r="E103" s="230">
        <f>E102/E16</f>
        <v>-0.21112944132539357</v>
      </c>
      <c r="F103" s="230">
        <f>F102/F16</f>
        <v>-0.18696206162520768</v>
      </c>
      <c r="G103" s="230">
        <f>G102/G16</f>
        <v>-0.19198457214657566</v>
      </c>
      <c r="H103" s="230">
        <f>H102/H16</f>
        <v>-0.17072950149358612</v>
      </c>
    </row>
    <row r="104" spans="1:8" ht="15" customHeight="1" x14ac:dyDescent="0.25">
      <c r="A104" s="222"/>
      <c r="B104" s="222"/>
      <c r="C104" s="221"/>
      <c r="D104" s="221"/>
      <c r="E104" s="221"/>
      <c r="F104" s="221"/>
      <c r="G104" s="221"/>
      <c r="H104" s="221"/>
    </row>
    <row r="105" spans="1:8" ht="15" customHeight="1" x14ac:dyDescent="0.25">
      <c r="A105" s="218" t="s">
        <v>154</v>
      </c>
      <c r="B105" s="69"/>
      <c r="C105" s="69"/>
      <c r="D105" s="69"/>
      <c r="E105" s="69"/>
      <c r="F105" s="69"/>
      <c r="G105" s="69"/>
      <c r="H105" s="69"/>
    </row>
    <row r="106" spans="1:8" ht="30" customHeight="1" x14ac:dyDescent="0.25">
      <c r="A106" s="218" t="s">
        <v>153</v>
      </c>
    </row>
    <row r="107" spans="1:8" ht="45.75" customHeight="1" x14ac:dyDescent="0.25">
      <c r="A107" s="220" t="s">
        <v>274</v>
      </c>
      <c r="B107" s="220"/>
      <c r="C107" s="220"/>
      <c r="D107" s="220"/>
      <c r="E107" s="220"/>
      <c r="F107" s="220"/>
      <c r="G107" s="220"/>
      <c r="H107" s="220"/>
    </row>
    <row r="108" spans="1:8" ht="30" customHeight="1" x14ac:dyDescent="0.25">
      <c r="A108" s="220" t="s">
        <v>273</v>
      </c>
      <c r="B108" s="220"/>
      <c r="C108" s="220"/>
      <c r="D108" s="220"/>
      <c r="E108" s="220"/>
      <c r="F108" s="220"/>
      <c r="G108" s="220"/>
      <c r="H108" s="220"/>
    </row>
    <row r="109" spans="1:8" ht="30" customHeight="1" x14ac:dyDescent="0.25">
      <c r="A109" s="220" t="s">
        <v>272</v>
      </c>
      <c r="B109" s="220"/>
      <c r="C109" s="220"/>
      <c r="D109" s="220"/>
      <c r="E109" s="220"/>
      <c r="F109" s="220"/>
      <c r="G109" s="220"/>
      <c r="H109" s="220"/>
    </row>
    <row r="110" spans="1:8" ht="15" customHeight="1" x14ac:dyDescent="0.25">
      <c r="A110" s="220" t="s">
        <v>271</v>
      </c>
      <c r="B110" s="220"/>
      <c r="C110" s="220"/>
      <c r="D110" s="220"/>
      <c r="E110" s="220"/>
      <c r="F110" s="220"/>
      <c r="G110" s="220"/>
      <c r="H110" s="220"/>
    </row>
    <row r="111" spans="1:8" ht="15" customHeight="1" x14ac:dyDescent="0.25">
      <c r="A111" s="220" t="s">
        <v>270</v>
      </c>
      <c r="B111" s="220"/>
      <c r="C111" s="220"/>
      <c r="D111" s="220"/>
      <c r="E111" s="220"/>
      <c r="F111" s="220"/>
      <c r="G111" s="220"/>
      <c r="H111" s="220"/>
    </row>
    <row r="112" spans="1:8" ht="15" customHeight="1" x14ac:dyDescent="0.25">
      <c r="A112" s="220" t="s">
        <v>269</v>
      </c>
      <c r="B112" s="220"/>
      <c r="C112" s="220"/>
      <c r="D112" s="220"/>
      <c r="E112" s="220"/>
      <c r="F112" s="220"/>
      <c r="G112" s="220"/>
      <c r="H112" s="220"/>
    </row>
    <row r="113" spans="1:8" ht="30" customHeight="1" x14ac:dyDescent="0.25">
      <c r="A113" s="220" t="s">
        <v>268</v>
      </c>
      <c r="B113" s="220"/>
      <c r="C113" s="220"/>
      <c r="D113" s="220"/>
      <c r="E113" s="220"/>
      <c r="F113" s="220"/>
      <c r="G113" s="220"/>
      <c r="H113" s="220"/>
    </row>
    <row r="114" spans="1:8" ht="30" customHeight="1" x14ac:dyDescent="0.25">
      <c r="A114" s="220" t="s">
        <v>267</v>
      </c>
      <c r="B114" s="220"/>
      <c r="C114" s="220"/>
      <c r="D114" s="220"/>
      <c r="E114" s="220"/>
      <c r="F114" s="220"/>
      <c r="G114" s="220"/>
      <c r="H114" s="220"/>
    </row>
    <row r="115" spans="1:8" ht="30" customHeight="1" x14ac:dyDescent="0.25">
      <c r="A115" s="220" t="s">
        <v>266</v>
      </c>
      <c r="B115" s="220"/>
      <c r="C115" s="220"/>
      <c r="D115" s="220"/>
      <c r="E115" s="220"/>
      <c r="F115" s="220"/>
      <c r="G115" s="220"/>
      <c r="H115" s="220"/>
    </row>
    <row r="116" spans="1:8" ht="30" customHeight="1" x14ac:dyDescent="0.25">
      <c r="A116" s="220" t="s">
        <v>265</v>
      </c>
      <c r="B116" s="220"/>
      <c r="C116" s="220"/>
      <c r="D116" s="220"/>
      <c r="E116" s="220"/>
      <c r="F116" s="220"/>
      <c r="G116" s="220"/>
      <c r="H116" s="220"/>
    </row>
    <row r="117" spans="1:8" ht="15" customHeight="1" x14ac:dyDescent="0.25">
      <c r="A117" s="220" t="s">
        <v>264</v>
      </c>
      <c r="B117" s="220"/>
      <c r="C117" s="220"/>
      <c r="D117" s="220"/>
      <c r="E117" s="220"/>
      <c r="F117" s="220"/>
      <c r="G117" s="220"/>
      <c r="H117" s="220"/>
    </row>
    <row r="118" spans="1:8" ht="15" customHeight="1" x14ac:dyDescent="0.25">
      <c r="A118" s="220" t="s">
        <v>263</v>
      </c>
      <c r="B118" s="220"/>
      <c r="C118" s="220"/>
      <c r="D118" s="220"/>
      <c r="E118" s="220"/>
      <c r="F118" s="220"/>
      <c r="G118" s="220"/>
      <c r="H118" s="220"/>
    </row>
    <row r="119" spans="1:8" ht="14.85" customHeight="1" x14ac:dyDescent="0.25">
      <c r="A119" s="220" t="s">
        <v>262</v>
      </c>
      <c r="B119" s="220"/>
      <c r="C119" s="220"/>
      <c r="D119" s="220"/>
      <c r="E119" s="220"/>
      <c r="F119" s="220"/>
      <c r="G119" s="220"/>
      <c r="H119" s="220"/>
    </row>
    <row r="120" spans="1:8" x14ac:dyDescent="0.25">
      <c r="B120" s="218"/>
    </row>
    <row r="121" spans="1:8" x14ac:dyDescent="0.25">
      <c r="B121" s="218"/>
    </row>
    <row r="122" spans="1:8" x14ac:dyDescent="0.25">
      <c r="A122" s="219" t="s">
        <v>158</v>
      </c>
      <c r="B122" s="218" t="s">
        <v>261</v>
      </c>
    </row>
  </sheetData>
  <mergeCells count="13">
    <mergeCell ref="A107:H107"/>
    <mergeCell ref="A108:H108"/>
    <mergeCell ref="A109:H109"/>
    <mergeCell ref="A110:H110"/>
    <mergeCell ref="A111:H111"/>
    <mergeCell ref="A117:H117"/>
    <mergeCell ref="A118:H118"/>
    <mergeCell ref="A119:H119"/>
    <mergeCell ref="A112:H112"/>
    <mergeCell ref="A113:H113"/>
    <mergeCell ref="A114:H114"/>
    <mergeCell ref="A115:H115"/>
    <mergeCell ref="A116:H116"/>
  </mergeCells>
  <hyperlinks>
    <hyperlink ref="B122" r:id="rId1" display="tuuli@rakvereteater.ee"/>
  </hyperlinks>
  <pageMargins left="0.22013888888888899" right="0.15972222222222199" top="0.32013888888888897" bottom="0.19027777777777799" header="0.51180555555555496" footer="0.51180555555555496"/>
  <pageSetup paperSize="9" firstPageNumber="0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1"/>
  <sheetViews>
    <sheetView zoomScale="110" zoomScaleNormal="110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D2" sqref="D2:T2"/>
    </sheetView>
  </sheetViews>
  <sheetFormatPr defaultColWidth="9.28515625" defaultRowHeight="15" outlineLevelCol="1" x14ac:dyDescent="0.25"/>
  <cols>
    <col min="1" max="3" width="0" style="121" hidden="1" customWidth="1" outlineLevel="1"/>
    <col min="4" max="4" width="10.5703125" style="121" customWidth="1" collapsed="1"/>
    <col min="5" max="26" width="9.5703125" style="121" customWidth="1"/>
    <col min="27" max="28" width="8" style="121" customWidth="1"/>
    <col min="29" max="29" width="9.5703125" style="121" customWidth="1"/>
    <col min="30" max="16384" width="9.28515625" style="121"/>
  </cols>
  <sheetData>
    <row r="1" spans="1:33" ht="15.75" customHeight="1" thickBot="1" x14ac:dyDescent="0.3">
      <c r="E1" s="341"/>
    </row>
    <row r="2" spans="1:33" s="244" customFormat="1" ht="12" thickBot="1" x14ac:dyDescent="0.25">
      <c r="B2" s="250" t="str">
        <f>IF(D3="Aasta",D2,0)</f>
        <v>SA Tartu Jaani Kirik</v>
      </c>
      <c r="C2" s="249" t="str">
        <f>CONCATENATE(B2," - ",D2,A2)</f>
        <v>SA Tartu Jaani Kirik - SA Tartu Jaani Kirik</v>
      </c>
      <c r="D2" s="340" t="s">
        <v>308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39" t="s">
        <v>307</v>
      </c>
      <c r="V2" s="249"/>
      <c r="W2" s="338"/>
      <c r="X2" s="337" t="s">
        <v>306</v>
      </c>
      <c r="Y2" s="336"/>
      <c r="Z2" s="336" t="e">
        <f>IF(VLOOKUP(D2,,3,0)=1,"valitsussektoris",IF(VLOOKUP(D2,,3,0)=2,"ei ole valitsussektoris","???"))</f>
        <v>#N/A</v>
      </c>
      <c r="AA2" s="336"/>
      <c r="AB2" s="336"/>
      <c r="AC2" s="336"/>
    </row>
    <row r="3" spans="1:33" s="244" customFormat="1" ht="12.75" customHeight="1" thickBot="1" x14ac:dyDescent="0.25">
      <c r="B3" s="250" t="str">
        <f>IF(D4="Aasta",D3,B2)</f>
        <v>SA Tartu Jaani Kirik</v>
      </c>
      <c r="C3" s="249" t="str">
        <f>CONCATENATE(B3," - ",D3,A3)</f>
        <v>SA Tartu Jaani Kirik - Aasta</v>
      </c>
      <c r="D3" s="333" t="s">
        <v>305</v>
      </c>
      <c r="E3" s="334" t="s">
        <v>304</v>
      </c>
      <c r="F3" s="334"/>
      <c r="G3" s="334"/>
      <c r="H3" s="334" t="s">
        <v>133</v>
      </c>
      <c r="I3" s="334"/>
      <c r="J3" s="334"/>
      <c r="K3" s="328" t="s">
        <v>130</v>
      </c>
      <c r="L3" s="335" t="s">
        <v>303</v>
      </c>
      <c r="M3" s="335"/>
      <c r="N3" s="335"/>
      <c r="O3" s="335"/>
      <c r="P3" s="334" t="s">
        <v>302</v>
      </c>
      <c r="Q3" s="334"/>
      <c r="R3" s="334"/>
      <c r="S3" s="320" t="s">
        <v>131</v>
      </c>
      <c r="T3" s="322" t="s">
        <v>301</v>
      </c>
      <c r="U3" s="321" t="s">
        <v>300</v>
      </c>
      <c r="V3" s="320" t="s">
        <v>131</v>
      </c>
      <c r="W3" s="319" t="s">
        <v>122</v>
      </c>
      <c r="X3" s="318" t="s">
        <v>299</v>
      </c>
      <c r="Y3" s="317" t="s">
        <v>297</v>
      </c>
      <c r="Z3" s="317" t="s">
        <v>298</v>
      </c>
      <c r="AA3" s="316" t="s">
        <v>297</v>
      </c>
      <c r="AB3" s="315" t="s">
        <v>296</v>
      </c>
      <c r="AC3" s="314" t="s">
        <v>295</v>
      </c>
    </row>
    <row r="4" spans="1:33" s="244" customFormat="1" ht="34.5" thickBot="1" x14ac:dyDescent="0.25">
      <c r="B4" s="250" t="e">
        <f>IF("#REF!=""Aasta"",D6,B5)",TRUE)</f>
        <v>#VALUE!</v>
      </c>
      <c r="C4" s="249" t="e">
        <f>CONCATENATE(B4," - ",D4,A4)</f>
        <v>#VALUE!</v>
      </c>
      <c r="D4" s="333"/>
      <c r="E4" s="332" t="s">
        <v>287</v>
      </c>
      <c r="F4" s="331" t="s">
        <v>294</v>
      </c>
      <c r="G4" s="330" t="s">
        <v>293</v>
      </c>
      <c r="H4" s="326" t="s">
        <v>287</v>
      </c>
      <c r="I4" s="324" t="s">
        <v>292</v>
      </c>
      <c r="J4" s="329" t="s">
        <v>291</v>
      </c>
      <c r="K4" s="328"/>
      <c r="L4" s="327" t="s">
        <v>287</v>
      </c>
      <c r="M4" s="324" t="s">
        <v>290</v>
      </c>
      <c r="N4" s="324" t="s">
        <v>289</v>
      </c>
      <c r="O4" s="326" t="s">
        <v>288</v>
      </c>
      <c r="P4" s="325" t="s">
        <v>287</v>
      </c>
      <c r="Q4" s="324" t="s">
        <v>286</v>
      </c>
      <c r="R4" s="323" t="s">
        <v>285</v>
      </c>
      <c r="S4" s="320"/>
      <c r="T4" s="322"/>
      <c r="U4" s="321"/>
      <c r="V4" s="320"/>
      <c r="W4" s="319"/>
      <c r="X4" s="318"/>
      <c r="Y4" s="317"/>
      <c r="Z4" s="317"/>
      <c r="AA4" s="316"/>
      <c r="AB4" s="315"/>
      <c r="AC4" s="314"/>
    </row>
    <row r="5" spans="1:33" s="293" customFormat="1" ht="11.25" customHeight="1" x14ac:dyDescent="0.2">
      <c r="A5" s="293" t="s">
        <v>283</v>
      </c>
      <c r="B5" s="311" t="str">
        <f>IF(D7="Aasta",D5,"#REF!)")</f>
        <v>#REF!)</v>
      </c>
      <c r="C5" s="310" t="str">
        <f>CONCATENATE(B5," - ",D5,A5)</f>
        <v>#REF!) - 2014e</v>
      </c>
      <c r="D5" s="313">
        <v>2014</v>
      </c>
      <c r="E5" s="308">
        <v>78</v>
      </c>
      <c r="F5" s="302">
        <v>30</v>
      </c>
      <c r="G5" s="301">
        <f>21+13</f>
        <v>34</v>
      </c>
      <c r="H5" s="307">
        <v>72</v>
      </c>
      <c r="I5" s="300"/>
      <c r="J5" s="306">
        <v>1</v>
      </c>
      <c r="K5" s="299">
        <v>6</v>
      </c>
      <c r="L5" s="305">
        <v>40</v>
      </c>
      <c r="M5" s="302">
        <v>27</v>
      </c>
      <c r="N5" s="302"/>
      <c r="O5" s="304">
        <v>31</v>
      </c>
      <c r="P5" s="303">
        <v>17</v>
      </c>
      <c r="Q5" s="302">
        <v>8</v>
      </c>
      <c r="R5" s="301"/>
      <c r="S5" s="300">
        <v>23</v>
      </c>
      <c r="T5" s="299"/>
      <c r="U5" s="298">
        <f>L5-P5-S5</f>
        <v>0</v>
      </c>
      <c r="V5" s="297" t="str">
        <f>IF(S5="",0,"#REF!+K7-S7)")</f>
        <v>#REF!+K7-S7)</v>
      </c>
      <c r="W5" s="296">
        <f>IF(T5="",0,"#REF!-#REF!+T7-J7-L7+O7)")</f>
        <v>0</v>
      </c>
      <c r="X5" s="312" t="s">
        <v>284</v>
      </c>
      <c r="Y5" s="312"/>
      <c r="Z5" s="312"/>
      <c r="AA5" s="312"/>
      <c r="AB5" s="312"/>
      <c r="AC5" s="312"/>
      <c r="AF5" s="294"/>
      <c r="AG5" s="294"/>
    </row>
    <row r="6" spans="1:33" s="293" customFormat="1" ht="11.25" x14ac:dyDescent="0.2">
      <c r="A6" s="293" t="s">
        <v>283</v>
      </c>
      <c r="B6" s="311" t="str">
        <f>IF(D12="Aasta",D6,B5)</f>
        <v>#REF!)</v>
      </c>
      <c r="C6" s="310" t="str">
        <f>CONCATENATE(B6," - ",D6,A6)</f>
        <v>#REF!) - 2015e</v>
      </c>
      <c r="D6" s="309">
        <v>2015</v>
      </c>
      <c r="E6" s="308">
        <v>99</v>
      </c>
      <c r="F6" s="302">
        <v>28</v>
      </c>
      <c r="G6" s="301">
        <f>21+13+9+15</f>
        <v>58</v>
      </c>
      <c r="H6" s="307">
        <v>101</v>
      </c>
      <c r="I6" s="300"/>
      <c r="J6" s="306">
        <v>1</v>
      </c>
      <c r="K6" s="299">
        <v>-3</v>
      </c>
      <c r="L6" s="305">
        <v>27</v>
      </c>
      <c r="M6" s="302">
        <v>15</v>
      </c>
      <c r="N6" s="302"/>
      <c r="O6" s="304">
        <v>20</v>
      </c>
      <c r="P6" s="303">
        <v>7</v>
      </c>
      <c r="Q6" s="302">
        <v>7</v>
      </c>
      <c r="R6" s="301"/>
      <c r="S6" s="300">
        <v>20</v>
      </c>
      <c r="T6" s="299"/>
      <c r="U6" s="298">
        <f>L6-P6-S6</f>
        <v>0</v>
      </c>
      <c r="V6" s="297">
        <f>IF(S6="",0,S5+K6-S6)</f>
        <v>0</v>
      </c>
      <c r="W6" s="296">
        <f>IF(T6="",0,L5-O5+T6-J6-L6+O6)</f>
        <v>0</v>
      </c>
      <c r="X6" s="295">
        <f>L6-M6-N6</f>
        <v>12</v>
      </c>
      <c r="Y6" s="276" t="e">
        <f>IF(L6=0,0,(S6-S5)-(X6-X5))</f>
        <v>#VALUE!</v>
      </c>
      <c r="Z6" s="276">
        <f>M6+N6</f>
        <v>15</v>
      </c>
      <c r="AA6" s="276">
        <f>IF(L6=0,0,(Z6-Z5)-(P6-P5))</f>
        <v>25</v>
      </c>
      <c r="AB6" s="276" t="e">
        <f>AA6-Y6</f>
        <v>#VALUE!</v>
      </c>
      <c r="AC6" s="273">
        <f>IF(L6=0,0,R5-R6)</f>
        <v>0</v>
      </c>
      <c r="AF6" s="294"/>
      <c r="AG6" s="294"/>
    </row>
    <row r="7" spans="1:33" s="244" customFormat="1" ht="11.25" x14ac:dyDescent="0.2">
      <c r="A7" s="244" t="s">
        <v>283</v>
      </c>
      <c r="B7" s="250" t="str">
        <f>IF(D13="Aasta",D7,B6)</f>
        <v>#REF!)</v>
      </c>
      <c r="C7" s="249" t="str">
        <f>CONCATENATE(B7," - ",D7,A7)</f>
        <v>#REF!) - 2016e</v>
      </c>
      <c r="D7" s="291">
        <v>2016</v>
      </c>
      <c r="E7" s="292">
        <v>74</v>
      </c>
      <c r="F7" s="284">
        <v>40</v>
      </c>
      <c r="G7" s="283">
        <f>21+13</f>
        <v>34</v>
      </c>
      <c r="H7" s="289">
        <v>74</v>
      </c>
      <c r="I7" s="282"/>
      <c r="J7" s="288">
        <v>1</v>
      </c>
      <c r="K7" s="281">
        <v>0</v>
      </c>
      <c r="L7" s="287">
        <v>27</v>
      </c>
      <c r="M7" s="284">
        <v>15</v>
      </c>
      <c r="N7" s="284"/>
      <c r="O7" s="286">
        <v>20</v>
      </c>
      <c r="P7" s="285">
        <v>7</v>
      </c>
      <c r="Q7" s="284">
        <v>7</v>
      </c>
      <c r="R7" s="283"/>
      <c r="S7" s="282">
        <v>20</v>
      </c>
      <c r="T7" s="281"/>
      <c r="U7" s="280">
        <f>L7-P7-S7</f>
        <v>0</v>
      </c>
      <c r="V7" s="279">
        <f>IF(S7="",0,S6+K7-S7)</f>
        <v>0</v>
      </c>
      <c r="W7" s="278">
        <f>IF(T7="",0,L6-O6+T7-J7-L7+O7)</f>
        <v>0</v>
      </c>
      <c r="X7" s="277">
        <f>L7-M7-N7</f>
        <v>12</v>
      </c>
      <c r="Y7" s="276">
        <f>IF(L7=0,0,(S7-S6)-(X7-X6))</f>
        <v>0</v>
      </c>
      <c r="Z7" s="274">
        <f>M7+N7</f>
        <v>15</v>
      </c>
      <c r="AA7" s="275">
        <f>IF(L7=0,0,(Z7-Z6)-(P7-P6))</f>
        <v>0</v>
      </c>
      <c r="AB7" s="274">
        <f>AA7-Y7</f>
        <v>0</v>
      </c>
      <c r="AC7" s="273">
        <f>IF(L7=0,0,R6-R7)</f>
        <v>0</v>
      </c>
      <c r="AF7" s="253"/>
      <c r="AG7" s="253"/>
    </row>
    <row r="8" spans="1:33" s="244" customFormat="1" ht="11.25" x14ac:dyDescent="0.2">
      <c r="B8" s="250"/>
      <c r="C8" s="249"/>
      <c r="D8" s="291">
        <v>2017</v>
      </c>
      <c r="E8" s="290">
        <v>74</v>
      </c>
      <c r="F8" s="284">
        <v>40</v>
      </c>
      <c r="G8" s="283">
        <f>21+13</f>
        <v>34</v>
      </c>
      <c r="H8" s="289">
        <v>74</v>
      </c>
      <c r="I8" s="282"/>
      <c r="J8" s="288">
        <v>1</v>
      </c>
      <c r="K8" s="281">
        <v>0</v>
      </c>
      <c r="L8" s="287">
        <v>27</v>
      </c>
      <c r="M8" s="284">
        <v>15</v>
      </c>
      <c r="N8" s="284"/>
      <c r="O8" s="286">
        <v>20</v>
      </c>
      <c r="P8" s="285">
        <v>7</v>
      </c>
      <c r="Q8" s="284">
        <v>7</v>
      </c>
      <c r="R8" s="283"/>
      <c r="S8" s="282">
        <v>20</v>
      </c>
      <c r="T8" s="281"/>
      <c r="U8" s="280">
        <f>L8-P8-S8</f>
        <v>0</v>
      </c>
      <c r="V8" s="279">
        <f>IF(S8="",0,S7+K8-S8)</f>
        <v>0</v>
      </c>
      <c r="W8" s="278">
        <f>IF(T8="",0,L7-O7+T8-J8-L8+O8)</f>
        <v>0</v>
      </c>
      <c r="X8" s="277">
        <f>L8-M8-N8</f>
        <v>12</v>
      </c>
      <c r="Y8" s="276">
        <f>IF(L8=0,0,(S8-S7)-(X8-X7))</f>
        <v>0</v>
      </c>
      <c r="Z8" s="274">
        <f>M8+N8</f>
        <v>15</v>
      </c>
      <c r="AA8" s="275">
        <f>IF(L8=0,0,(Z8-Z7)-(P8-P7))</f>
        <v>0</v>
      </c>
      <c r="AB8" s="274">
        <f>AA8-Y8</f>
        <v>0</v>
      </c>
      <c r="AC8" s="273">
        <f>IF(L8=0,0,R7-R8)</f>
        <v>0</v>
      </c>
      <c r="AF8" s="253"/>
      <c r="AG8" s="253"/>
    </row>
    <row r="9" spans="1:33" s="244" customFormat="1" ht="11.25" x14ac:dyDescent="0.2">
      <c r="B9" s="250"/>
      <c r="C9" s="249"/>
      <c r="D9" s="291">
        <v>2018</v>
      </c>
      <c r="E9" s="290">
        <v>74</v>
      </c>
      <c r="F9" s="284">
        <v>40</v>
      </c>
      <c r="G9" s="283">
        <f>21+13</f>
        <v>34</v>
      </c>
      <c r="H9" s="289">
        <v>74</v>
      </c>
      <c r="I9" s="282"/>
      <c r="J9" s="288">
        <v>1</v>
      </c>
      <c r="K9" s="281">
        <v>0</v>
      </c>
      <c r="L9" s="287">
        <v>27</v>
      </c>
      <c r="M9" s="284">
        <v>15</v>
      </c>
      <c r="N9" s="284"/>
      <c r="O9" s="286">
        <v>20</v>
      </c>
      <c r="P9" s="285">
        <v>7</v>
      </c>
      <c r="Q9" s="284">
        <v>7</v>
      </c>
      <c r="R9" s="283"/>
      <c r="S9" s="282">
        <v>20</v>
      </c>
      <c r="T9" s="281"/>
      <c r="U9" s="280">
        <f>L9-P9-S9</f>
        <v>0</v>
      </c>
      <c r="V9" s="279">
        <f>IF(S9="",0,S8+K9-S9)</f>
        <v>0</v>
      </c>
      <c r="W9" s="278">
        <f>IF(T9="",0,L8-O8+T9-J9-L9+O9)</f>
        <v>0</v>
      </c>
      <c r="X9" s="277">
        <f>L9-M9-N9</f>
        <v>12</v>
      </c>
      <c r="Y9" s="276">
        <f>IF(L9=0,0,(S9-S8)-(X9-X8))</f>
        <v>0</v>
      </c>
      <c r="Z9" s="274">
        <f>M9+N9</f>
        <v>15</v>
      </c>
      <c r="AA9" s="275">
        <f>IF(L9=0,0,(Z9-Z8)-(P9-P8))</f>
        <v>0</v>
      </c>
      <c r="AB9" s="274">
        <f>AA9-Y9</f>
        <v>0</v>
      </c>
      <c r="AC9" s="273">
        <f>IF(L9=0,0,R8-R9)</f>
        <v>0</v>
      </c>
      <c r="AF9" s="253"/>
      <c r="AG9" s="253"/>
    </row>
    <row r="10" spans="1:33" s="244" customFormat="1" ht="11.25" x14ac:dyDescent="0.2">
      <c r="B10" s="250"/>
      <c r="C10" s="249"/>
      <c r="D10" s="291">
        <v>2019</v>
      </c>
      <c r="E10" s="290">
        <v>74</v>
      </c>
      <c r="F10" s="284">
        <v>40</v>
      </c>
      <c r="G10" s="283">
        <f>21+13</f>
        <v>34</v>
      </c>
      <c r="H10" s="289">
        <v>74</v>
      </c>
      <c r="I10" s="282"/>
      <c r="J10" s="288">
        <v>1</v>
      </c>
      <c r="K10" s="281">
        <v>0</v>
      </c>
      <c r="L10" s="287">
        <v>27</v>
      </c>
      <c r="M10" s="284">
        <v>15</v>
      </c>
      <c r="N10" s="284"/>
      <c r="O10" s="286">
        <v>20</v>
      </c>
      <c r="P10" s="285">
        <v>7</v>
      </c>
      <c r="Q10" s="284">
        <v>7</v>
      </c>
      <c r="R10" s="283"/>
      <c r="S10" s="282">
        <v>20</v>
      </c>
      <c r="T10" s="281"/>
      <c r="U10" s="280">
        <f>L10-P10-S10</f>
        <v>0</v>
      </c>
      <c r="V10" s="279">
        <f>IF(S10="",0,S9+K10-S10)</f>
        <v>0</v>
      </c>
      <c r="W10" s="278">
        <f>IF(T10="",0,L9-O9+T10-J10-L10+O10)</f>
        <v>0</v>
      </c>
      <c r="X10" s="277">
        <f>L10-M10-N10</f>
        <v>12</v>
      </c>
      <c r="Y10" s="276">
        <f>IF(L10=0,0,(S10-S9)-(X10-X9))</f>
        <v>0</v>
      </c>
      <c r="Z10" s="274">
        <f>M10+N10</f>
        <v>15</v>
      </c>
      <c r="AA10" s="275">
        <f>IF(L10=0,0,(Z10-Z9)-(P10-P9))</f>
        <v>0</v>
      </c>
      <c r="AB10" s="274">
        <f>AA10-Y10</f>
        <v>0</v>
      </c>
      <c r="AC10" s="273">
        <f>IF(L10=0,0,R9-R10)</f>
        <v>0</v>
      </c>
      <c r="AF10" s="253"/>
      <c r="AG10" s="253"/>
    </row>
    <row r="11" spans="1:33" s="244" customFormat="1" ht="12" thickBot="1" x14ac:dyDescent="0.25">
      <c r="A11" s="244" t="s">
        <v>283</v>
      </c>
      <c r="B11" s="250" t="str">
        <f>IF(D14="Aasta",D11,B7)</f>
        <v>#REF!)</v>
      </c>
      <c r="C11" s="249" t="str">
        <f>CONCATENATE(B11," - ",D11,A11)</f>
        <v>#REF!) - 2020e</v>
      </c>
      <c r="D11" s="272">
        <v>2020</v>
      </c>
      <c r="E11" s="271" t="s">
        <v>282</v>
      </c>
      <c r="F11" s="265"/>
      <c r="G11" s="264"/>
      <c r="H11" s="270"/>
      <c r="I11" s="263"/>
      <c r="J11" s="269"/>
      <c r="K11" s="262"/>
      <c r="L11" s="268"/>
      <c r="M11" s="265"/>
      <c r="N11" s="265"/>
      <c r="O11" s="267"/>
      <c r="P11" s="266"/>
      <c r="Q11" s="265"/>
      <c r="R11" s="264"/>
      <c r="S11" s="263"/>
      <c r="T11" s="262"/>
      <c r="U11" s="261">
        <f>L11-P11-S11</f>
        <v>0</v>
      </c>
      <c r="V11" s="260">
        <f>IF(S11="",0,S10+K11-S11)</f>
        <v>0</v>
      </c>
      <c r="W11" s="259">
        <f>IF(T11="",0,L10-O10+T11-J11-L11+O11)</f>
        <v>0</v>
      </c>
      <c r="X11" s="258">
        <f>L11-M11-N11</f>
        <v>0</v>
      </c>
      <c r="Y11" s="257">
        <f>IF(L11=0,0,(S11-S10)-(X11-X10))</f>
        <v>0</v>
      </c>
      <c r="Z11" s="255">
        <f>M11+N11</f>
        <v>0</v>
      </c>
      <c r="AA11" s="256">
        <f>IF(L11=0,0,(Z11-Z10)-(P11-P10))</f>
        <v>0</v>
      </c>
      <c r="AB11" s="255">
        <f>AA11-Y11</f>
        <v>0</v>
      </c>
      <c r="AC11" s="254">
        <f>IF(L11=0,0,R10-R11)</f>
        <v>0</v>
      </c>
      <c r="AF11" s="253"/>
      <c r="AG11" s="253"/>
    </row>
    <row r="12" spans="1:33" s="244" customFormat="1" ht="11.25" x14ac:dyDescent="0.2">
      <c r="B12" s="250" t="str">
        <f>IF(D13="Aasta",D12,B5)</f>
        <v>#REF!)</v>
      </c>
      <c r="C12" s="249" t="str">
        <f>CONCATENATE(B12," - ",D12,A12)</f>
        <v xml:space="preserve">#REF!) - </v>
      </c>
      <c r="D12" s="252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46"/>
      <c r="V12" s="246"/>
      <c r="AA12" s="245"/>
      <c r="AB12" s="245"/>
      <c r="AC12" s="245"/>
    </row>
    <row r="13" spans="1:33" s="244" customFormat="1" ht="11.25" x14ac:dyDescent="0.2">
      <c r="B13" s="250" t="str">
        <f>IF(D14="Aasta",D13,B12)</f>
        <v>#REF!)</v>
      </c>
      <c r="C13" s="249" t="str">
        <f>CONCATENATE(B13," - ",D13,A13)</f>
        <v xml:space="preserve">#REF!) - </v>
      </c>
      <c r="D13" s="252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46"/>
      <c r="V13" s="246"/>
      <c r="AA13" s="245"/>
      <c r="AB13" s="245"/>
      <c r="AC13" s="245"/>
    </row>
    <row r="14" spans="1:33" s="244" customFormat="1" ht="11.25" x14ac:dyDescent="0.2">
      <c r="B14" s="250" t="str">
        <f>IF(D15="Aasta",D14,B13)</f>
        <v>#REF!)</v>
      </c>
      <c r="C14" s="249" t="str">
        <f>CONCATENATE(B14," - ",D14,A14)</f>
        <v xml:space="preserve">#REF!) - </v>
      </c>
      <c r="D14" s="248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6"/>
      <c r="V14" s="246"/>
      <c r="AA14" s="245"/>
      <c r="AB14" s="245"/>
      <c r="AC14" s="245"/>
    </row>
    <row r="16" spans="1:33" x14ac:dyDescent="0.25">
      <c r="D16" s="121" t="s">
        <v>281</v>
      </c>
      <c r="G16" s="243" t="s">
        <v>280</v>
      </c>
      <c r="H16" s="243"/>
      <c r="I16" s="243"/>
      <c r="J16" s="243"/>
      <c r="K16" s="243"/>
      <c r="L16" s="243"/>
      <c r="M16" s="243"/>
      <c r="N16" s="243"/>
      <c r="O16" s="243"/>
      <c r="P16" s="243"/>
    </row>
    <row r="18" spans="4:4" x14ac:dyDescent="0.25">
      <c r="D18" s="121" t="s">
        <v>279</v>
      </c>
    </row>
    <row r="19" spans="4:4" x14ac:dyDescent="0.25">
      <c r="D19" s="242" t="s">
        <v>278</v>
      </c>
    </row>
    <row r="20" spans="4:4" x14ac:dyDescent="0.25">
      <c r="D20" s="242" t="s">
        <v>277</v>
      </c>
    </row>
    <row r="21" spans="4:4" x14ac:dyDescent="0.25">
      <c r="D21" s="242" t="s">
        <v>276</v>
      </c>
    </row>
  </sheetData>
  <sheetProtection selectLockedCells="1" selectUnlockedCells="1"/>
  <mergeCells count="20">
    <mergeCell ref="Y3:Y4"/>
    <mergeCell ref="S3:S4"/>
    <mergeCell ref="AA3:AA4"/>
    <mergeCell ref="AB3:AB4"/>
    <mergeCell ref="AC3:AC4"/>
    <mergeCell ref="X5:AC5"/>
    <mergeCell ref="G16:P16"/>
    <mergeCell ref="U3:U4"/>
    <mergeCell ref="V3:V4"/>
    <mergeCell ref="W3:W4"/>
    <mergeCell ref="X3:X4"/>
    <mergeCell ref="T3:T4"/>
    <mergeCell ref="Z3:Z4"/>
    <mergeCell ref="D2:T2"/>
    <mergeCell ref="D3:D4"/>
    <mergeCell ref="E3:G3"/>
    <mergeCell ref="H3:J3"/>
    <mergeCell ref="K3:K4"/>
    <mergeCell ref="L3:O3"/>
    <mergeCell ref="P3:R3"/>
  </mergeCells>
  <conditionalFormatting sqref="U5:W11">
    <cfRule type="cellIs" dxfId="13" priority="1" stopIfTrue="1" operator="notBetween">
      <formula>-1</formula>
      <formula>1</formula>
    </cfRule>
  </conditionalFormatting>
  <conditionalFormatting sqref="H5:H11 E5:E7 E11">
    <cfRule type="cellIs" dxfId="12" priority="2" stopIfTrue="1" operator="lessThan">
      <formula>C5+D5</formula>
    </cfRule>
  </conditionalFormatting>
  <conditionalFormatting sqref="O5:O11">
    <cfRule type="cellIs" dxfId="11" priority="3" stopIfTrue="1" operator="lessThan">
      <formula>M5</formula>
    </cfRule>
  </conditionalFormatting>
  <conditionalFormatting sqref="P5:P11">
    <cfRule type="cellIs" dxfId="10" priority="4" stopIfTrue="1" operator="lessThan">
      <formula>Q5</formula>
    </cfRule>
    <cfRule type="cellIs" dxfId="9" priority="5" stopIfTrue="1" operator="lessThan">
      <formula>R5</formula>
    </cfRule>
  </conditionalFormatting>
  <conditionalFormatting sqref="L5:L11">
    <cfRule type="cellIs" dxfId="8" priority="6" stopIfTrue="1" operator="lessThan">
      <formula>M5+N5</formula>
    </cfRule>
    <cfRule type="cellIs" dxfId="7" priority="7" stopIfTrue="1" operator="lessThan">
      <formula>O5</formula>
    </cfRule>
  </conditionalFormatting>
  <pageMargins left="0.19652777777777777" right="0.19652777777777777" top="0.74791666666666667" bottom="0.74791666666666667" header="0.51180555555555551" footer="0.51180555555555551"/>
  <pageSetup paperSize="9" scale="64" firstPageNumber="0" orientation="landscape" horizontalDpi="300" verticalDpi="300"/>
  <headerFooter alignWithMargins="0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zoomScaleNormal="100" workbookViewId="0">
      <selection activeCell="B1" sqref="B1"/>
    </sheetView>
  </sheetViews>
  <sheetFormatPr defaultRowHeight="15" x14ac:dyDescent="0.25"/>
  <cols>
    <col min="1" max="1" width="43.85546875" style="64" customWidth="1"/>
    <col min="2" max="2" width="31.42578125" style="64" customWidth="1"/>
    <col min="3" max="8" width="12.85546875" style="64" customWidth="1"/>
    <col min="9" max="16384" width="9.140625" style="64"/>
  </cols>
  <sheetData>
    <row r="1" spans="1:8" ht="30" x14ac:dyDescent="0.25">
      <c r="A1" s="99" t="s">
        <v>159</v>
      </c>
      <c r="B1" s="67" t="s">
        <v>325</v>
      </c>
      <c r="H1" s="68"/>
    </row>
    <row r="2" spans="1:8" x14ac:dyDescent="0.25">
      <c r="A2" s="96"/>
    </row>
    <row r="3" spans="1:8" x14ac:dyDescent="0.25">
      <c r="A3" s="96" t="s">
        <v>140</v>
      </c>
      <c r="B3" s="96"/>
      <c r="C3" s="96"/>
    </row>
    <row r="4" spans="1:8" x14ac:dyDescent="0.25">
      <c r="A4" s="363" t="s">
        <v>157</v>
      </c>
      <c r="B4" s="363" t="s">
        <v>12</v>
      </c>
      <c r="C4" s="361">
        <v>2015</v>
      </c>
      <c r="D4" s="362">
        <v>2016</v>
      </c>
      <c r="E4" s="362">
        <v>2017</v>
      </c>
      <c r="F4" s="362">
        <v>2018</v>
      </c>
      <c r="G4" s="362">
        <v>2019</v>
      </c>
      <c r="H4" s="362">
        <v>2020</v>
      </c>
    </row>
    <row r="5" spans="1:8" x14ac:dyDescent="0.25">
      <c r="A5" s="361"/>
      <c r="B5" s="361"/>
      <c r="C5" s="360"/>
      <c r="D5" s="226"/>
      <c r="E5" s="226"/>
      <c r="F5" s="226"/>
      <c r="G5" s="226"/>
      <c r="H5" s="226"/>
    </row>
    <row r="6" spans="1:8" x14ac:dyDescent="0.25">
      <c r="A6" s="348" t="s">
        <v>49</v>
      </c>
      <c r="B6" s="348"/>
      <c r="C6" s="227"/>
      <c r="D6" s="226"/>
      <c r="E6" s="226"/>
      <c r="F6" s="226"/>
      <c r="G6" s="226"/>
      <c r="H6" s="226"/>
    </row>
    <row r="7" spans="1:8" x14ac:dyDescent="0.25">
      <c r="A7" s="354" t="s">
        <v>13</v>
      </c>
      <c r="B7" s="354" t="s">
        <v>25</v>
      </c>
      <c r="C7" s="227"/>
      <c r="D7" s="226"/>
      <c r="E7" s="226"/>
      <c r="F7" s="226"/>
      <c r="G7" s="226"/>
      <c r="H7" s="226"/>
    </row>
    <row r="8" spans="1:8" x14ac:dyDescent="0.25">
      <c r="A8" s="354" t="s">
        <v>26</v>
      </c>
      <c r="B8" s="354" t="s">
        <v>27</v>
      </c>
      <c r="C8" s="227">
        <v>1007602</v>
      </c>
      <c r="D8" s="226">
        <v>1000000</v>
      </c>
      <c r="E8" s="226">
        <v>1050000</v>
      </c>
      <c r="F8" s="226">
        <v>1100000</v>
      </c>
      <c r="G8" s="226">
        <v>1150000</v>
      </c>
      <c r="H8" s="226">
        <v>1200000</v>
      </c>
    </row>
    <row r="9" spans="1:8" x14ac:dyDescent="0.25">
      <c r="A9" s="354" t="s">
        <v>28</v>
      </c>
      <c r="B9" s="354" t="s">
        <v>14</v>
      </c>
      <c r="C9" s="227"/>
      <c r="D9" s="226"/>
      <c r="E9" s="226"/>
      <c r="F9" s="226"/>
      <c r="G9" s="226"/>
      <c r="H9" s="226"/>
    </row>
    <row r="10" spans="1:8" x14ac:dyDescent="0.25">
      <c r="A10" s="354" t="s">
        <v>15</v>
      </c>
      <c r="B10" s="354" t="s">
        <v>29</v>
      </c>
      <c r="C10" s="227">
        <v>1029172</v>
      </c>
      <c r="D10" s="226">
        <v>1050000</v>
      </c>
      <c r="E10" s="226">
        <v>1050000</v>
      </c>
      <c r="F10" s="226">
        <v>1100000</v>
      </c>
      <c r="G10" s="226">
        <v>1150000</v>
      </c>
      <c r="H10" s="226">
        <v>1200000</v>
      </c>
    </row>
    <row r="11" spans="1:8" x14ac:dyDescent="0.25">
      <c r="A11" s="354" t="s">
        <v>16</v>
      </c>
      <c r="B11" s="354" t="s">
        <v>30</v>
      </c>
      <c r="C11" s="227"/>
      <c r="D11" s="226"/>
      <c r="E11" s="226"/>
      <c r="F11" s="226"/>
      <c r="G11" s="226"/>
      <c r="H11" s="226"/>
    </row>
    <row r="12" spans="1:8" x14ac:dyDescent="0.25">
      <c r="A12" s="354" t="s">
        <v>31</v>
      </c>
      <c r="B12" s="354" t="s">
        <v>32</v>
      </c>
      <c r="C12" s="227"/>
      <c r="D12" s="226"/>
      <c r="E12" s="226"/>
      <c r="F12" s="226"/>
      <c r="G12" s="226"/>
      <c r="H12" s="226"/>
    </row>
    <row r="13" spans="1:8" x14ac:dyDescent="0.25">
      <c r="A13" s="354" t="s">
        <v>17</v>
      </c>
      <c r="B13" s="354" t="s">
        <v>33</v>
      </c>
      <c r="C13" s="352"/>
      <c r="D13" s="226"/>
      <c r="E13" s="226"/>
      <c r="F13" s="226"/>
      <c r="G13" s="226"/>
      <c r="H13" s="226"/>
    </row>
    <row r="14" spans="1:8" x14ac:dyDescent="0.25">
      <c r="A14" s="354" t="s">
        <v>18</v>
      </c>
      <c r="B14" s="354" t="s">
        <v>34</v>
      </c>
      <c r="C14" s="352"/>
      <c r="D14" s="226"/>
      <c r="E14" s="226"/>
      <c r="F14" s="226"/>
      <c r="G14" s="226"/>
      <c r="H14" s="226"/>
    </row>
    <row r="15" spans="1:8" x14ac:dyDescent="0.25">
      <c r="A15" s="354" t="s">
        <v>35</v>
      </c>
      <c r="B15" s="354" t="s">
        <v>36</v>
      </c>
      <c r="C15" s="227"/>
      <c r="D15" s="226"/>
      <c r="E15" s="226"/>
      <c r="F15" s="226"/>
      <c r="G15" s="226"/>
      <c r="H15" s="226"/>
    </row>
    <row r="16" spans="1:8" x14ac:dyDescent="0.25">
      <c r="A16" s="348" t="s">
        <v>0</v>
      </c>
      <c r="B16" s="348"/>
      <c r="C16" s="226">
        <f>SUM(C7:C15)</f>
        <v>2036774</v>
      </c>
      <c r="D16" s="226">
        <f>SUM(D7:D15)</f>
        <v>2050000</v>
      </c>
      <c r="E16" s="226">
        <f>SUM(E7:E15)</f>
        <v>2100000</v>
      </c>
      <c r="F16" s="226">
        <f>SUM(F7:F15)</f>
        <v>2200000</v>
      </c>
      <c r="G16" s="226">
        <f>SUM(G7:G15)</f>
        <v>2300000</v>
      </c>
      <c r="H16" s="226">
        <f>SUM(H7:H15)</f>
        <v>2400000</v>
      </c>
    </row>
    <row r="17" spans="1:8" x14ac:dyDescent="0.25">
      <c r="A17" s="354"/>
      <c r="B17" s="354"/>
      <c r="C17" s="226"/>
      <c r="D17" s="226"/>
      <c r="E17" s="226"/>
      <c r="F17" s="226"/>
      <c r="G17" s="226"/>
      <c r="H17" s="226"/>
    </row>
    <row r="18" spans="1:8" x14ac:dyDescent="0.25">
      <c r="A18" s="355" t="s">
        <v>132</v>
      </c>
      <c r="B18" s="355"/>
      <c r="C18" s="351"/>
      <c r="D18" s="351"/>
      <c r="E18" s="351"/>
      <c r="F18" s="351"/>
      <c r="G18" s="351"/>
      <c r="H18" s="351"/>
    </row>
    <row r="19" spans="1:8" x14ac:dyDescent="0.25">
      <c r="A19" s="355" t="s">
        <v>147</v>
      </c>
      <c r="B19" s="355" t="s">
        <v>115</v>
      </c>
      <c r="C19" s="351">
        <v>1006847</v>
      </c>
      <c r="D19" s="351">
        <f>D8</f>
        <v>1000000</v>
      </c>
      <c r="E19" s="351">
        <f>E8</f>
        <v>1050000</v>
      </c>
      <c r="F19" s="351">
        <f>F8</f>
        <v>1100000</v>
      </c>
      <c r="G19" s="351">
        <f>G8</f>
        <v>1150000</v>
      </c>
      <c r="H19" s="351">
        <f>H8</f>
        <v>1200000</v>
      </c>
    </row>
    <row r="20" spans="1:8" x14ac:dyDescent="0.25">
      <c r="A20" s="355" t="s">
        <v>148</v>
      </c>
      <c r="B20" s="355" t="s">
        <v>117</v>
      </c>
      <c r="C20" s="351">
        <v>1029172</v>
      </c>
      <c r="D20" s="351">
        <f>D10</f>
        <v>1050000</v>
      </c>
      <c r="E20" s="351">
        <f>E10</f>
        <v>1050000</v>
      </c>
      <c r="F20" s="351">
        <f>F10</f>
        <v>1100000</v>
      </c>
      <c r="G20" s="351">
        <f>G10</f>
        <v>1150000</v>
      </c>
      <c r="H20" s="351">
        <f>H10</f>
        <v>1200000</v>
      </c>
    </row>
    <row r="21" spans="1:8" x14ac:dyDescent="0.25">
      <c r="A21" s="355" t="s">
        <v>114</v>
      </c>
      <c r="B21" s="355" t="s">
        <v>116</v>
      </c>
      <c r="C21" s="351">
        <f>SUM(C19:C20)</f>
        <v>2036019</v>
      </c>
      <c r="D21" s="351">
        <f>D16</f>
        <v>2050000</v>
      </c>
      <c r="E21" s="351">
        <f>E16</f>
        <v>2100000</v>
      </c>
      <c r="F21" s="351">
        <f>F16</f>
        <v>2200000</v>
      </c>
      <c r="G21" s="351">
        <f>G16</f>
        <v>2300000</v>
      </c>
      <c r="H21" s="351">
        <f>H16</f>
        <v>2400000</v>
      </c>
    </row>
    <row r="22" spans="1:8" x14ac:dyDescent="0.25">
      <c r="A22" s="354"/>
      <c r="B22" s="354"/>
      <c r="C22" s="227"/>
      <c r="D22" s="226"/>
      <c r="E22" s="226"/>
      <c r="F22" s="226"/>
      <c r="G22" s="226"/>
      <c r="H22" s="226"/>
    </row>
    <row r="23" spans="1:8" x14ac:dyDescent="0.25">
      <c r="A23" s="353" t="s">
        <v>149</v>
      </c>
      <c r="B23" s="354"/>
      <c r="C23" s="227"/>
      <c r="D23" s="226"/>
      <c r="E23" s="226"/>
      <c r="F23" s="226"/>
      <c r="G23" s="226"/>
      <c r="H23" s="226"/>
    </row>
    <row r="24" spans="1:8" x14ac:dyDescent="0.25">
      <c r="A24" s="354" t="s">
        <v>19</v>
      </c>
      <c r="B24" s="354" t="s">
        <v>37</v>
      </c>
      <c r="C24" s="227"/>
      <c r="D24" s="226"/>
      <c r="E24" s="226"/>
      <c r="F24" s="226"/>
      <c r="G24" s="226"/>
      <c r="H24" s="226"/>
    </row>
    <row r="25" spans="1:8" x14ac:dyDescent="0.25">
      <c r="A25" s="354" t="s">
        <v>23</v>
      </c>
      <c r="B25" s="354" t="s">
        <v>24</v>
      </c>
      <c r="C25" s="227"/>
      <c r="D25" s="226"/>
      <c r="E25" s="226"/>
      <c r="F25" s="226"/>
      <c r="G25" s="226"/>
      <c r="H25" s="226"/>
    </row>
    <row r="26" spans="1:8" x14ac:dyDescent="0.25">
      <c r="A26" s="354" t="s">
        <v>20</v>
      </c>
      <c r="B26" s="354" t="s">
        <v>38</v>
      </c>
      <c r="C26" s="227"/>
      <c r="D26" s="226"/>
      <c r="E26" s="226"/>
      <c r="F26" s="226"/>
      <c r="G26" s="226"/>
      <c r="H26" s="226"/>
    </row>
    <row r="27" spans="1:8" x14ac:dyDescent="0.25">
      <c r="A27" s="354" t="s">
        <v>21</v>
      </c>
      <c r="B27" s="354" t="s">
        <v>39</v>
      </c>
      <c r="C27" s="227"/>
      <c r="D27" s="226"/>
      <c r="E27" s="226"/>
      <c r="F27" s="226"/>
      <c r="G27" s="226"/>
      <c r="H27" s="226"/>
    </row>
    <row r="28" spans="1:8" x14ac:dyDescent="0.25">
      <c r="A28" s="354" t="s">
        <v>133</v>
      </c>
      <c r="B28" s="354" t="s">
        <v>40</v>
      </c>
      <c r="C28" s="227">
        <v>-2031053</v>
      </c>
      <c r="D28" s="226">
        <v>-2000000</v>
      </c>
      <c r="E28" s="226">
        <v>-2050000</v>
      </c>
      <c r="F28" s="226">
        <v>-2150000</v>
      </c>
      <c r="G28" s="226">
        <v>-2250000</v>
      </c>
      <c r="H28" s="226">
        <v>-2350000</v>
      </c>
    </row>
    <row r="29" spans="1:8" x14ac:dyDescent="0.25">
      <c r="A29" s="353" t="s">
        <v>155</v>
      </c>
      <c r="B29" s="353" t="s">
        <v>156</v>
      </c>
      <c r="C29" s="227">
        <v>-774411</v>
      </c>
      <c r="D29" s="226">
        <v>-775000</v>
      </c>
      <c r="E29" s="226">
        <v>-825000</v>
      </c>
      <c r="F29" s="226">
        <v>-900000</v>
      </c>
      <c r="G29" s="226">
        <v>-975000</v>
      </c>
      <c r="H29" s="226">
        <v>-1050000</v>
      </c>
    </row>
    <row r="30" spans="1:8" x14ac:dyDescent="0.25">
      <c r="A30" s="354" t="s">
        <v>41</v>
      </c>
      <c r="B30" s="354" t="s">
        <v>42</v>
      </c>
      <c r="C30" s="227">
        <v>-261</v>
      </c>
      <c r="D30" s="226">
        <v>-300</v>
      </c>
      <c r="E30" s="226">
        <v>-300</v>
      </c>
      <c r="F30" s="226">
        <v>-300</v>
      </c>
      <c r="G30" s="226">
        <v>-300</v>
      </c>
      <c r="H30" s="226">
        <v>-300</v>
      </c>
    </row>
    <row r="31" spans="1:8" x14ac:dyDescent="0.25">
      <c r="A31" s="354" t="s">
        <v>43</v>
      </c>
      <c r="B31" s="354" t="s">
        <v>44</v>
      </c>
      <c r="C31" s="352"/>
      <c r="D31" s="226"/>
      <c r="E31" s="226"/>
      <c r="F31" s="226"/>
      <c r="G31" s="226"/>
      <c r="H31" s="226"/>
    </row>
    <row r="32" spans="1:8" x14ac:dyDescent="0.25">
      <c r="A32" s="354" t="s">
        <v>45</v>
      </c>
      <c r="B32" s="354" t="s">
        <v>46</v>
      </c>
      <c r="C32" s="352">
        <v>-471</v>
      </c>
      <c r="D32" s="352">
        <v>-500</v>
      </c>
      <c r="E32" s="352">
        <v>-500</v>
      </c>
      <c r="F32" s="352">
        <v>-500</v>
      </c>
      <c r="G32" s="352">
        <v>-500</v>
      </c>
      <c r="H32" s="352">
        <v>-500</v>
      </c>
    </row>
    <row r="33" spans="1:8" x14ac:dyDescent="0.25">
      <c r="A33" s="354" t="s">
        <v>47</v>
      </c>
      <c r="B33" s="354" t="s">
        <v>48</v>
      </c>
      <c r="C33" s="352">
        <v>-613</v>
      </c>
      <c r="D33" s="352">
        <v>-500</v>
      </c>
      <c r="E33" s="352">
        <v>-500</v>
      </c>
      <c r="F33" s="352">
        <v>-500</v>
      </c>
      <c r="G33" s="352">
        <v>-500</v>
      </c>
      <c r="H33" s="352">
        <v>-500</v>
      </c>
    </row>
    <row r="34" spans="1:8" x14ac:dyDescent="0.25">
      <c r="A34" s="348" t="s">
        <v>1</v>
      </c>
      <c r="B34" s="348"/>
      <c r="C34" s="226">
        <f>SUM(C24:C28)+SUM(C30:C33)</f>
        <v>-2032398</v>
      </c>
      <c r="D34" s="226">
        <f>SUM(D24:D28)+SUM(D30:D33)</f>
        <v>-2001300</v>
      </c>
      <c r="E34" s="226">
        <f>SUM(E24:E28)+SUM(E30:E33)</f>
        <v>-2051300</v>
      </c>
      <c r="F34" s="226">
        <f>SUM(F24:F28)+SUM(F30:F33)</f>
        <v>-2151300</v>
      </c>
      <c r="G34" s="226">
        <f>SUM(G24:G28)+SUM(G30:G33)</f>
        <v>-2251300</v>
      </c>
      <c r="H34" s="226">
        <f>SUM(H24:H28)+SUM(H30:H33)</f>
        <v>-2351300</v>
      </c>
    </row>
    <row r="35" spans="1:8" x14ac:dyDescent="0.25">
      <c r="A35" s="348"/>
      <c r="B35" s="348"/>
      <c r="C35" s="226"/>
      <c r="D35" s="226"/>
      <c r="E35" s="226"/>
      <c r="F35" s="226"/>
      <c r="G35" s="226"/>
      <c r="H35" s="226"/>
    </row>
    <row r="36" spans="1:8" x14ac:dyDescent="0.25">
      <c r="A36" s="350" t="s">
        <v>150</v>
      </c>
      <c r="B36" s="350"/>
      <c r="C36" s="351"/>
      <c r="D36" s="351"/>
      <c r="E36" s="351"/>
      <c r="F36" s="351"/>
      <c r="G36" s="351"/>
      <c r="H36" s="351"/>
    </row>
    <row r="37" spans="1:8" x14ac:dyDescent="0.25">
      <c r="A37" s="350" t="s">
        <v>119</v>
      </c>
      <c r="B37" s="350" t="s">
        <v>118</v>
      </c>
      <c r="C37" s="351"/>
      <c r="D37" s="351"/>
      <c r="E37" s="351"/>
      <c r="F37" s="351"/>
      <c r="G37" s="351"/>
      <c r="H37" s="351"/>
    </row>
    <row r="38" spans="1:8" x14ac:dyDescent="0.25">
      <c r="A38" s="350" t="s">
        <v>133</v>
      </c>
      <c r="B38" s="350" t="s">
        <v>134</v>
      </c>
      <c r="C38" s="351">
        <v>-2031053</v>
      </c>
      <c r="D38" s="351">
        <v>-2000000</v>
      </c>
      <c r="E38" s="351">
        <f>E28</f>
        <v>-2050000</v>
      </c>
      <c r="F38" s="351">
        <f>F28</f>
        <v>-2150000</v>
      </c>
      <c r="G38" s="351">
        <f>G28</f>
        <v>-2250000</v>
      </c>
      <c r="H38" s="351">
        <f>H28</f>
        <v>-2350000</v>
      </c>
    </row>
    <row r="39" spans="1:8" x14ac:dyDescent="0.25">
      <c r="A39" s="350" t="s">
        <v>136</v>
      </c>
      <c r="B39" s="350" t="s">
        <v>135</v>
      </c>
      <c r="C39" s="351">
        <v>-47536</v>
      </c>
      <c r="D39" s="351">
        <v>-47000</v>
      </c>
      <c r="E39" s="351">
        <v>-47000</v>
      </c>
      <c r="F39" s="351">
        <v>-47000</v>
      </c>
      <c r="G39" s="351">
        <v>-47000</v>
      </c>
      <c r="H39" s="351">
        <v>-47000</v>
      </c>
    </row>
    <row r="40" spans="1:8" x14ac:dyDescent="0.25">
      <c r="A40" s="350" t="s">
        <v>138</v>
      </c>
      <c r="B40" s="350" t="s">
        <v>120</v>
      </c>
      <c r="C40" s="349">
        <v>-46190</v>
      </c>
      <c r="D40" s="351">
        <v>-45000</v>
      </c>
      <c r="E40" s="351">
        <v>-45000</v>
      </c>
      <c r="F40" s="351">
        <v>-45000</v>
      </c>
      <c r="G40" s="351">
        <v>-45000</v>
      </c>
      <c r="H40" s="351">
        <v>-45000</v>
      </c>
    </row>
    <row r="41" spans="1:8" x14ac:dyDescent="0.25">
      <c r="A41" s="350" t="s">
        <v>113</v>
      </c>
      <c r="B41" s="350" t="s">
        <v>137</v>
      </c>
      <c r="C41" s="351">
        <f>SUM(C37:C39)</f>
        <v>-2078589</v>
      </c>
      <c r="D41" s="351">
        <f>SUM(D37:D39)</f>
        <v>-2047000</v>
      </c>
      <c r="E41" s="351">
        <f>SUM(E37:E39)</f>
        <v>-2097000</v>
      </c>
      <c r="F41" s="351">
        <f>SUM(F37:F39)</f>
        <v>-2197000</v>
      </c>
      <c r="G41" s="351">
        <f>SUM(G37:G39)</f>
        <v>-2297000</v>
      </c>
      <c r="H41" s="351">
        <f>SUM(H37:H39)</f>
        <v>-2397000</v>
      </c>
    </row>
    <row r="42" spans="1:8" x14ac:dyDescent="0.25">
      <c r="A42" s="348"/>
      <c r="B42" s="348"/>
      <c r="C42" s="227"/>
      <c r="D42" s="226"/>
      <c r="E42" s="226"/>
      <c r="F42" s="226"/>
      <c r="G42" s="226"/>
      <c r="H42" s="226"/>
    </row>
    <row r="43" spans="1:8" x14ac:dyDescent="0.25">
      <c r="A43" s="347" t="s">
        <v>2</v>
      </c>
      <c r="B43" s="347"/>
      <c r="C43" s="346">
        <f>C16+C34</f>
        <v>4376</v>
      </c>
      <c r="D43" s="346">
        <f>D16+D34</f>
        <v>48700</v>
      </c>
      <c r="E43" s="346">
        <f>E16+E34</f>
        <v>48700</v>
      </c>
      <c r="F43" s="346">
        <f>F16+F34</f>
        <v>48700</v>
      </c>
      <c r="G43" s="346">
        <f>G16+G34</f>
        <v>48700</v>
      </c>
      <c r="H43" s="346">
        <f>H16+H34</f>
        <v>48700</v>
      </c>
    </row>
    <row r="44" spans="1:8" x14ac:dyDescent="0.25">
      <c r="A44" s="345" t="s">
        <v>3</v>
      </c>
      <c r="B44" s="345"/>
      <c r="C44" s="359">
        <f>C43/C16</f>
        <v>2.1484956111969223E-3</v>
      </c>
      <c r="D44" s="359">
        <f>D43/D16</f>
        <v>2.375609756097561E-2</v>
      </c>
      <c r="E44" s="359">
        <f>E43/E16</f>
        <v>2.3190476190476192E-2</v>
      </c>
      <c r="F44" s="359">
        <f>F43/F16</f>
        <v>2.2136363636363638E-2</v>
      </c>
      <c r="G44" s="359">
        <f>G43/G16</f>
        <v>2.1173913043478262E-2</v>
      </c>
      <c r="H44" s="359">
        <f>H43/H16</f>
        <v>2.0291666666666666E-2</v>
      </c>
    </row>
    <row r="45" spans="1:8" x14ac:dyDescent="0.25">
      <c r="A45" s="345"/>
      <c r="B45" s="345"/>
      <c r="C45" s="356"/>
      <c r="D45" s="356"/>
      <c r="E45" s="356"/>
      <c r="F45" s="356"/>
      <c r="G45" s="356"/>
      <c r="H45" s="356"/>
    </row>
    <row r="46" spans="1:8" x14ac:dyDescent="0.25">
      <c r="A46" s="358" t="s">
        <v>130</v>
      </c>
      <c r="B46" s="358" t="s">
        <v>141</v>
      </c>
      <c r="C46" s="357">
        <f>C21+C41</f>
        <v>-42570</v>
      </c>
      <c r="D46" s="357">
        <f>D21+D41</f>
        <v>3000</v>
      </c>
      <c r="E46" s="357">
        <f>E21+E41</f>
        <v>3000</v>
      </c>
      <c r="F46" s="357">
        <f>F21+F41</f>
        <v>3000</v>
      </c>
      <c r="G46" s="357">
        <f>G21+G41</f>
        <v>3000</v>
      </c>
      <c r="H46" s="357">
        <f>H21+H41</f>
        <v>3000</v>
      </c>
    </row>
    <row r="47" spans="1:8" x14ac:dyDescent="0.25">
      <c r="A47" s="345"/>
      <c r="B47" s="345"/>
      <c r="C47" s="356"/>
      <c r="D47" s="356"/>
      <c r="E47" s="356"/>
      <c r="F47" s="356"/>
      <c r="G47" s="356"/>
      <c r="H47" s="356"/>
    </row>
    <row r="48" spans="1:8" x14ac:dyDescent="0.25">
      <c r="A48" s="348" t="s">
        <v>151</v>
      </c>
      <c r="B48" s="348"/>
      <c r="C48" s="227"/>
      <c r="D48" s="226"/>
      <c r="E48" s="226"/>
      <c r="F48" s="226"/>
      <c r="G48" s="226"/>
      <c r="H48" s="226"/>
    </row>
    <row r="49" spans="1:8" x14ac:dyDescent="0.25">
      <c r="A49" s="353" t="s">
        <v>197</v>
      </c>
      <c r="B49" s="348"/>
      <c r="C49" s="352">
        <v>-10983</v>
      </c>
      <c r="D49" s="226">
        <v>-20000</v>
      </c>
      <c r="E49" s="226">
        <v>-20000</v>
      </c>
      <c r="F49" s="226">
        <v>-20000</v>
      </c>
      <c r="G49" s="226">
        <v>-20000</v>
      </c>
      <c r="H49" s="226">
        <v>-20000</v>
      </c>
    </row>
    <row r="50" spans="1:8" x14ac:dyDescent="0.25">
      <c r="A50" s="353" t="s">
        <v>142</v>
      </c>
      <c r="B50" s="348"/>
      <c r="C50" s="352"/>
      <c r="D50" s="226"/>
      <c r="E50" s="226"/>
      <c r="F50" s="226"/>
      <c r="G50" s="226"/>
      <c r="H50" s="226"/>
    </row>
    <row r="51" spans="1:8" x14ac:dyDescent="0.25">
      <c r="A51" s="353" t="s">
        <v>4</v>
      </c>
      <c r="B51" s="348"/>
      <c r="C51" s="352"/>
      <c r="D51" s="226"/>
      <c r="E51" s="226"/>
      <c r="F51" s="226"/>
      <c r="G51" s="226"/>
      <c r="H51" s="226"/>
    </row>
    <row r="52" spans="1:8" x14ac:dyDescent="0.25">
      <c r="A52" s="353" t="s">
        <v>5</v>
      </c>
      <c r="B52" s="348"/>
      <c r="C52" s="352"/>
      <c r="D52" s="226"/>
      <c r="E52" s="226"/>
      <c r="F52" s="226"/>
      <c r="G52" s="226"/>
      <c r="H52" s="226"/>
    </row>
    <row r="53" spans="1:8" x14ac:dyDescent="0.25">
      <c r="A53" s="353" t="s">
        <v>143</v>
      </c>
      <c r="B53" s="348"/>
      <c r="C53" s="352"/>
      <c r="D53" s="226"/>
      <c r="E53" s="226"/>
      <c r="F53" s="226"/>
      <c r="G53" s="226"/>
      <c r="H53" s="226"/>
    </row>
    <row r="54" spans="1:8" x14ac:dyDescent="0.25">
      <c r="A54" s="353" t="s">
        <v>196</v>
      </c>
      <c r="B54" s="348"/>
      <c r="C54" s="352"/>
      <c r="D54" s="226"/>
      <c r="E54" s="226"/>
      <c r="F54" s="226"/>
      <c r="G54" s="226"/>
      <c r="H54" s="226"/>
    </row>
    <row r="55" spans="1:8" x14ac:dyDescent="0.25">
      <c r="A55" s="353" t="s">
        <v>144</v>
      </c>
      <c r="B55" s="348"/>
      <c r="C55" s="352"/>
      <c r="D55" s="226"/>
      <c r="E55" s="226"/>
      <c r="F55" s="226"/>
      <c r="G55" s="226"/>
      <c r="H55" s="226"/>
    </row>
    <row r="56" spans="1:8" x14ac:dyDescent="0.25">
      <c r="A56" s="353" t="s">
        <v>109</v>
      </c>
      <c r="B56" s="348"/>
      <c r="C56" s="352"/>
      <c r="D56" s="226"/>
      <c r="E56" s="226"/>
      <c r="F56" s="226"/>
      <c r="G56" s="226"/>
      <c r="H56" s="226"/>
    </row>
    <row r="57" spans="1:8" x14ac:dyDescent="0.25">
      <c r="A57" s="353" t="s">
        <v>145</v>
      </c>
      <c r="B57" s="348"/>
      <c r="C57" s="352"/>
      <c r="D57" s="226"/>
      <c r="E57" s="226"/>
      <c r="F57" s="226"/>
      <c r="G57" s="226"/>
      <c r="H57" s="226"/>
    </row>
    <row r="58" spans="1:8" x14ac:dyDescent="0.25">
      <c r="A58" s="353" t="s">
        <v>195</v>
      </c>
      <c r="B58" s="348"/>
      <c r="C58" s="352"/>
      <c r="D58" s="226"/>
      <c r="E58" s="226"/>
      <c r="F58" s="226"/>
      <c r="G58" s="226"/>
      <c r="H58" s="226"/>
    </row>
    <row r="59" spans="1:8" x14ac:dyDescent="0.25">
      <c r="A59" s="353" t="s">
        <v>146</v>
      </c>
      <c r="B59" s="348"/>
      <c r="C59" s="352"/>
      <c r="D59" s="226"/>
      <c r="E59" s="226"/>
      <c r="F59" s="226"/>
      <c r="G59" s="226"/>
      <c r="H59" s="226"/>
    </row>
    <row r="60" spans="1:8" x14ac:dyDescent="0.25">
      <c r="A60" s="353" t="s">
        <v>194</v>
      </c>
      <c r="B60" s="348"/>
      <c r="C60" s="352">
        <v>278</v>
      </c>
      <c r="D60" s="226">
        <v>300</v>
      </c>
      <c r="E60" s="226">
        <v>300</v>
      </c>
      <c r="F60" s="226">
        <v>300</v>
      </c>
      <c r="G60" s="226">
        <v>300</v>
      </c>
      <c r="H60" s="226">
        <v>300</v>
      </c>
    </row>
    <row r="61" spans="1:8" x14ac:dyDescent="0.25">
      <c r="A61" s="353" t="s">
        <v>193</v>
      </c>
      <c r="B61" s="348"/>
      <c r="C61" s="227"/>
      <c r="D61" s="226"/>
      <c r="E61" s="226"/>
      <c r="F61" s="226"/>
      <c r="G61" s="226"/>
      <c r="H61" s="226"/>
    </row>
    <row r="62" spans="1:8" x14ac:dyDescent="0.25">
      <c r="A62" s="348" t="s">
        <v>6</v>
      </c>
      <c r="B62" s="348"/>
      <c r="C62" s="226">
        <f>SUM(C49:C61)</f>
        <v>-10705</v>
      </c>
      <c r="D62" s="226">
        <f>SUM(D49:D61)</f>
        <v>-19700</v>
      </c>
      <c r="E62" s="226">
        <f>SUM(E49:E61)</f>
        <v>-19700</v>
      </c>
      <c r="F62" s="226">
        <f>SUM(F49:F61)</f>
        <v>-19700</v>
      </c>
      <c r="G62" s="226">
        <f>SUM(G49:G61)</f>
        <v>-19700</v>
      </c>
      <c r="H62" s="226">
        <f>SUM(H49:H61)</f>
        <v>-19700</v>
      </c>
    </row>
    <row r="63" spans="1:8" x14ac:dyDescent="0.25">
      <c r="A63" s="348"/>
      <c r="B63" s="348"/>
      <c r="C63" s="227"/>
      <c r="D63" s="226"/>
      <c r="E63" s="226"/>
      <c r="F63" s="226"/>
      <c r="G63" s="226"/>
      <c r="H63" s="226"/>
    </row>
    <row r="64" spans="1:8" x14ac:dyDescent="0.25">
      <c r="A64" s="347" t="s">
        <v>7</v>
      </c>
      <c r="B64" s="347"/>
      <c r="C64" s="346">
        <f>C43+C62</f>
        <v>-6329</v>
      </c>
      <c r="D64" s="346">
        <f>D43+D62</f>
        <v>29000</v>
      </c>
      <c r="E64" s="346">
        <f>E43+E62</f>
        <v>29000</v>
      </c>
      <c r="F64" s="346">
        <f>F43+F62</f>
        <v>29000</v>
      </c>
      <c r="G64" s="346">
        <f>G43+G62</f>
        <v>29000</v>
      </c>
      <c r="H64" s="346">
        <f>H43+H62</f>
        <v>29000</v>
      </c>
    </row>
    <row r="65" spans="1:8" x14ac:dyDescent="0.25">
      <c r="A65" s="348"/>
      <c r="B65" s="348"/>
      <c r="C65" s="227"/>
      <c r="D65" s="226"/>
      <c r="E65" s="226"/>
      <c r="F65" s="226"/>
      <c r="G65" s="226"/>
      <c r="H65" s="226"/>
    </row>
    <row r="66" spans="1:8" x14ac:dyDescent="0.25">
      <c r="A66" s="348" t="s">
        <v>93</v>
      </c>
      <c r="B66" s="348"/>
      <c r="C66" s="227"/>
      <c r="D66" s="226"/>
      <c r="E66" s="226"/>
      <c r="F66" s="226"/>
      <c r="G66" s="226"/>
      <c r="H66" s="226"/>
    </row>
    <row r="67" spans="1:8" x14ac:dyDescent="0.25">
      <c r="A67" s="354" t="s">
        <v>59</v>
      </c>
      <c r="B67" s="354" t="s">
        <v>50</v>
      </c>
      <c r="C67" s="352"/>
      <c r="D67" s="352"/>
      <c r="E67" s="352"/>
      <c r="F67" s="352"/>
      <c r="G67" s="352"/>
      <c r="H67" s="352"/>
    </row>
    <row r="68" spans="1:8" x14ac:dyDescent="0.25">
      <c r="A68" s="354" t="s">
        <v>60</v>
      </c>
      <c r="B68" s="354" t="s">
        <v>129</v>
      </c>
      <c r="C68" s="352"/>
      <c r="D68" s="352"/>
      <c r="E68" s="352"/>
      <c r="F68" s="352"/>
      <c r="G68" s="352"/>
      <c r="H68" s="352"/>
    </row>
    <row r="69" spans="1:8" ht="60" x14ac:dyDescent="0.25">
      <c r="A69" s="354" t="s">
        <v>61</v>
      </c>
      <c r="B69" s="348" t="s">
        <v>51</v>
      </c>
      <c r="C69" s="352"/>
      <c r="D69" s="226"/>
      <c r="E69" s="226"/>
      <c r="F69" s="226"/>
      <c r="G69" s="226"/>
      <c r="H69" s="226"/>
    </row>
    <row r="70" spans="1:8" x14ac:dyDescent="0.25">
      <c r="A70" s="354" t="s">
        <v>52</v>
      </c>
      <c r="B70" s="354" t="s">
        <v>62</v>
      </c>
      <c r="C70" s="352"/>
      <c r="D70" s="226"/>
      <c r="E70" s="226"/>
      <c r="F70" s="226"/>
      <c r="G70" s="226"/>
      <c r="H70" s="226"/>
    </row>
    <row r="71" spans="1:8" x14ac:dyDescent="0.25">
      <c r="A71" s="354" t="s">
        <v>63</v>
      </c>
      <c r="B71" s="354" t="s">
        <v>64</v>
      </c>
      <c r="C71" s="352"/>
      <c r="D71" s="226"/>
      <c r="E71" s="226"/>
      <c r="F71" s="226"/>
      <c r="G71" s="226"/>
      <c r="H71" s="226"/>
    </row>
    <row r="72" spans="1:8" x14ac:dyDescent="0.25">
      <c r="A72" s="354" t="s">
        <v>65</v>
      </c>
      <c r="B72" s="354" t="s">
        <v>66</v>
      </c>
      <c r="C72" s="352">
        <v>38294</v>
      </c>
      <c r="D72" s="226">
        <v>30000</v>
      </c>
      <c r="E72" s="226">
        <v>30000</v>
      </c>
      <c r="F72" s="226">
        <v>30000</v>
      </c>
      <c r="G72" s="226">
        <v>30000</v>
      </c>
      <c r="H72" s="226">
        <v>30000</v>
      </c>
    </row>
    <row r="73" spans="1:8" x14ac:dyDescent="0.25">
      <c r="A73" s="354" t="s">
        <v>67</v>
      </c>
      <c r="B73" s="354" t="s">
        <v>68</v>
      </c>
      <c r="C73" s="352"/>
      <c r="D73" s="226"/>
      <c r="E73" s="226"/>
      <c r="F73" s="226"/>
      <c r="G73" s="226"/>
      <c r="H73" s="226"/>
    </row>
    <row r="74" spans="1:8" x14ac:dyDescent="0.25">
      <c r="A74" s="354" t="s">
        <v>53</v>
      </c>
      <c r="B74" s="354" t="s">
        <v>69</v>
      </c>
      <c r="C74" s="352"/>
      <c r="D74" s="226"/>
      <c r="E74" s="226"/>
      <c r="F74" s="226"/>
      <c r="G74" s="226"/>
      <c r="H74" s="226"/>
    </row>
    <row r="75" spans="1:8" x14ac:dyDescent="0.25">
      <c r="A75" s="354" t="s">
        <v>70</v>
      </c>
      <c r="B75" s="354" t="s">
        <v>71</v>
      </c>
      <c r="C75" s="352"/>
      <c r="D75" s="226"/>
      <c r="E75" s="226"/>
      <c r="F75" s="226"/>
      <c r="G75" s="226"/>
      <c r="H75" s="226"/>
    </row>
    <row r="76" spans="1:8" x14ac:dyDescent="0.25">
      <c r="A76" s="354" t="s">
        <v>54</v>
      </c>
      <c r="B76" s="354" t="s">
        <v>58</v>
      </c>
      <c r="C76" s="352"/>
      <c r="D76" s="226"/>
      <c r="E76" s="226"/>
      <c r="F76" s="226"/>
      <c r="G76" s="226"/>
      <c r="H76" s="226"/>
    </row>
    <row r="77" spans="1:8" x14ac:dyDescent="0.25">
      <c r="A77" s="354" t="s">
        <v>55</v>
      </c>
      <c r="B77" s="354" t="s">
        <v>72</v>
      </c>
      <c r="C77" s="352"/>
      <c r="D77" s="226"/>
      <c r="E77" s="226"/>
      <c r="F77" s="226"/>
      <c r="G77" s="226"/>
      <c r="H77" s="226"/>
    </row>
    <row r="78" spans="1:8" ht="45" x14ac:dyDescent="0.25">
      <c r="A78" s="354" t="s">
        <v>73</v>
      </c>
      <c r="B78" s="348" t="s">
        <v>74</v>
      </c>
      <c r="C78" s="352"/>
      <c r="D78" s="226"/>
      <c r="E78" s="226"/>
      <c r="F78" s="226"/>
      <c r="G78" s="226"/>
      <c r="H78" s="226"/>
    </row>
    <row r="79" spans="1:8" x14ac:dyDescent="0.25">
      <c r="A79" s="354" t="s">
        <v>56</v>
      </c>
      <c r="B79" s="354" t="s">
        <v>75</v>
      </c>
      <c r="C79" s="352"/>
      <c r="D79" s="226"/>
      <c r="E79" s="226"/>
      <c r="F79" s="226"/>
      <c r="G79" s="226"/>
      <c r="H79" s="226"/>
    </row>
    <row r="80" spans="1:8" x14ac:dyDescent="0.25">
      <c r="A80" s="354" t="s">
        <v>192</v>
      </c>
      <c r="B80" s="354" t="s">
        <v>77</v>
      </c>
      <c r="C80" s="352">
        <v>300000</v>
      </c>
      <c r="D80" s="226">
        <v>0</v>
      </c>
      <c r="E80" s="226">
        <v>0</v>
      </c>
      <c r="F80" s="226">
        <v>0</v>
      </c>
      <c r="G80" s="226">
        <v>0</v>
      </c>
      <c r="H80" s="226">
        <v>0</v>
      </c>
    </row>
    <row r="81" spans="1:8" x14ac:dyDescent="0.25">
      <c r="A81" s="354" t="s">
        <v>57</v>
      </c>
      <c r="B81" s="354" t="s">
        <v>78</v>
      </c>
      <c r="C81" s="352"/>
      <c r="D81" s="226"/>
      <c r="E81" s="226"/>
      <c r="F81" s="226"/>
      <c r="G81" s="226"/>
      <c r="H81" s="226"/>
    </row>
    <row r="82" spans="1:8" x14ac:dyDescent="0.25">
      <c r="A82" s="348" t="s">
        <v>8</v>
      </c>
      <c r="B82" s="348"/>
      <c r="C82" s="226">
        <f>SUM(C67:C81)</f>
        <v>338294</v>
      </c>
      <c r="D82" s="226">
        <f>SUM(D67:D81)</f>
        <v>30000</v>
      </c>
      <c r="E82" s="226">
        <f>SUM(E67:E81)</f>
        <v>30000</v>
      </c>
      <c r="F82" s="226">
        <f>SUM(F67:F81)</f>
        <v>30000</v>
      </c>
      <c r="G82" s="226">
        <f>SUM(G67:G81)</f>
        <v>30000</v>
      </c>
      <c r="H82" s="226">
        <f>SUM(H67:H81)</f>
        <v>30000</v>
      </c>
    </row>
    <row r="83" spans="1:8" x14ac:dyDescent="0.25">
      <c r="A83" s="348"/>
      <c r="B83" s="348"/>
      <c r="C83" s="227"/>
      <c r="D83" s="226"/>
      <c r="E83" s="226"/>
      <c r="F83" s="226"/>
      <c r="G83" s="226"/>
      <c r="H83" s="226"/>
    </row>
    <row r="84" spans="1:8" x14ac:dyDescent="0.25">
      <c r="A84" s="350" t="s">
        <v>125</v>
      </c>
      <c r="B84" s="355" t="s">
        <v>191</v>
      </c>
      <c r="C84" s="349">
        <v>517116</v>
      </c>
      <c r="D84" s="351"/>
      <c r="E84" s="351"/>
      <c r="F84" s="351"/>
      <c r="G84" s="351"/>
      <c r="H84" s="351"/>
    </row>
    <row r="85" spans="1:8" x14ac:dyDescent="0.25">
      <c r="A85" s="348"/>
      <c r="B85" s="348"/>
      <c r="C85" s="227"/>
      <c r="D85" s="226"/>
      <c r="E85" s="226"/>
      <c r="F85" s="226"/>
      <c r="G85" s="226"/>
      <c r="H85" s="226"/>
    </row>
    <row r="86" spans="1:8" x14ac:dyDescent="0.25">
      <c r="A86" s="348" t="s">
        <v>152</v>
      </c>
      <c r="B86" s="348"/>
      <c r="C86" s="227"/>
      <c r="D86" s="226"/>
      <c r="E86" s="226"/>
      <c r="F86" s="226"/>
      <c r="G86" s="226"/>
      <c r="H86" s="226"/>
    </row>
    <row r="87" spans="1:8" x14ac:dyDescent="0.25">
      <c r="A87" s="354" t="s">
        <v>9</v>
      </c>
      <c r="B87" s="354" t="s">
        <v>190</v>
      </c>
      <c r="C87" s="227">
        <v>-311476</v>
      </c>
      <c r="D87" s="226">
        <v>-10000</v>
      </c>
      <c r="E87" s="226">
        <v>-10000</v>
      </c>
      <c r="F87" s="226">
        <v>-10000</v>
      </c>
      <c r="G87" s="226">
        <v>-10000</v>
      </c>
      <c r="H87" s="226">
        <v>-10000</v>
      </c>
    </row>
    <row r="88" spans="1:8" x14ac:dyDescent="0.25">
      <c r="A88" s="354" t="s">
        <v>88</v>
      </c>
      <c r="B88" s="353" t="s">
        <v>189</v>
      </c>
      <c r="C88" s="227"/>
      <c r="D88" s="226"/>
      <c r="E88" s="226"/>
      <c r="F88" s="226"/>
      <c r="G88" s="226"/>
      <c r="H88" s="226"/>
    </row>
    <row r="89" spans="1:8" x14ac:dyDescent="0.25">
      <c r="A89" s="354" t="s">
        <v>88</v>
      </c>
      <c r="B89" s="353" t="s">
        <v>188</v>
      </c>
      <c r="C89" s="227"/>
      <c r="D89" s="226"/>
      <c r="E89" s="226"/>
      <c r="F89" s="226"/>
      <c r="G89" s="226"/>
      <c r="H89" s="226"/>
    </row>
    <row r="90" spans="1:8" x14ac:dyDescent="0.25">
      <c r="A90" s="354" t="s">
        <v>89</v>
      </c>
      <c r="B90" s="353" t="s">
        <v>187</v>
      </c>
      <c r="C90" s="227"/>
      <c r="D90" s="226"/>
      <c r="E90" s="226"/>
      <c r="F90" s="226"/>
      <c r="G90" s="226"/>
      <c r="H90" s="226"/>
    </row>
    <row r="91" spans="1:8" x14ac:dyDescent="0.25">
      <c r="A91" s="354" t="s">
        <v>90</v>
      </c>
      <c r="B91" s="353" t="s">
        <v>186</v>
      </c>
      <c r="C91" s="227"/>
      <c r="D91" s="226"/>
      <c r="E91" s="226"/>
      <c r="F91" s="226"/>
      <c r="G91" s="226"/>
      <c r="H91" s="226"/>
    </row>
    <row r="92" spans="1:8" x14ac:dyDescent="0.25">
      <c r="A92" s="354" t="s">
        <v>79</v>
      </c>
      <c r="B92" s="353" t="s">
        <v>185</v>
      </c>
      <c r="C92" s="227"/>
      <c r="D92" s="226"/>
      <c r="E92" s="226"/>
      <c r="F92" s="226"/>
      <c r="G92" s="226"/>
      <c r="H92" s="226"/>
    </row>
    <row r="93" spans="1:8" x14ac:dyDescent="0.25">
      <c r="A93" s="354" t="s">
        <v>91</v>
      </c>
      <c r="B93" s="353" t="s">
        <v>184</v>
      </c>
      <c r="C93" s="227"/>
      <c r="D93" s="226"/>
      <c r="E93" s="226"/>
      <c r="F93" s="226"/>
      <c r="G93" s="226"/>
      <c r="H93" s="226"/>
    </row>
    <row r="94" spans="1:8" x14ac:dyDescent="0.25">
      <c r="A94" s="354" t="s">
        <v>92</v>
      </c>
      <c r="B94" s="353" t="s">
        <v>183</v>
      </c>
      <c r="C94" s="352"/>
      <c r="D94" s="226"/>
      <c r="E94" s="226"/>
      <c r="F94" s="226"/>
      <c r="G94" s="226"/>
      <c r="H94" s="226"/>
    </row>
    <row r="95" spans="1:8" x14ac:dyDescent="0.25">
      <c r="A95" s="348" t="s">
        <v>10</v>
      </c>
      <c r="B95" s="348"/>
      <c r="C95" s="226">
        <f>SUM(C87:C94)</f>
        <v>-311476</v>
      </c>
      <c r="D95" s="226">
        <f>SUM(D87:D94)</f>
        <v>-10000</v>
      </c>
      <c r="E95" s="226">
        <f>SUM(E87:E94)</f>
        <v>-10000</v>
      </c>
      <c r="F95" s="226">
        <f>SUM(F87:F94)</f>
        <v>-10000</v>
      </c>
      <c r="G95" s="226">
        <f>SUM(G87:G94)</f>
        <v>-10000</v>
      </c>
      <c r="H95" s="226">
        <f>SUM(H87:H94)</f>
        <v>-10000</v>
      </c>
    </row>
    <row r="96" spans="1:8" x14ac:dyDescent="0.25">
      <c r="A96" s="348"/>
      <c r="B96" s="348"/>
      <c r="C96" s="227"/>
      <c r="D96" s="226"/>
      <c r="E96" s="226"/>
      <c r="F96" s="226"/>
      <c r="G96" s="226"/>
      <c r="H96" s="226"/>
    </row>
    <row r="97" spans="1:8" x14ac:dyDescent="0.25">
      <c r="A97" s="350" t="s">
        <v>121</v>
      </c>
      <c r="B97" s="350" t="s">
        <v>126</v>
      </c>
      <c r="C97" s="349">
        <v>399524</v>
      </c>
      <c r="D97" s="351">
        <v>40000</v>
      </c>
      <c r="E97" s="351">
        <v>40000</v>
      </c>
      <c r="F97" s="351">
        <v>40000</v>
      </c>
      <c r="G97" s="351">
        <v>40000</v>
      </c>
      <c r="H97" s="351">
        <v>40000</v>
      </c>
    </row>
    <row r="98" spans="1:8" x14ac:dyDescent="0.25">
      <c r="A98" s="350" t="s">
        <v>122</v>
      </c>
      <c r="B98" s="350" t="s">
        <v>127</v>
      </c>
      <c r="C98" s="349">
        <v>77899</v>
      </c>
      <c r="D98" s="351">
        <v>50000</v>
      </c>
      <c r="E98" s="351">
        <v>40000</v>
      </c>
      <c r="F98" s="351">
        <v>30000</v>
      </c>
      <c r="G98" s="351">
        <v>20000</v>
      </c>
      <c r="H98" s="351">
        <v>10000</v>
      </c>
    </row>
    <row r="99" spans="1:8" x14ac:dyDescent="0.25">
      <c r="A99" s="350" t="s">
        <v>131</v>
      </c>
      <c r="B99" s="350"/>
      <c r="C99" s="349">
        <v>-38440</v>
      </c>
      <c r="D99" s="351"/>
      <c r="E99" s="351"/>
      <c r="F99" s="351"/>
      <c r="G99" s="351"/>
      <c r="H99" s="351"/>
    </row>
    <row r="100" spans="1:8" x14ac:dyDescent="0.25">
      <c r="A100" s="350" t="s">
        <v>123</v>
      </c>
      <c r="B100" s="350" t="s">
        <v>128</v>
      </c>
      <c r="C100" s="349">
        <f>C97+C98</f>
        <v>477423</v>
      </c>
      <c r="D100" s="349">
        <f>D97+D98</f>
        <v>90000</v>
      </c>
      <c r="E100" s="349">
        <f>E97+E98</f>
        <v>80000</v>
      </c>
      <c r="F100" s="349">
        <f>F97+F98</f>
        <v>70000</v>
      </c>
      <c r="G100" s="349">
        <f>G97+G98</f>
        <v>60000</v>
      </c>
      <c r="H100" s="349">
        <f>H97+H98</f>
        <v>50000</v>
      </c>
    </row>
    <row r="101" spans="1:8" x14ac:dyDescent="0.25">
      <c r="A101" s="348"/>
      <c r="B101" s="348"/>
      <c r="C101" s="227"/>
      <c r="D101" s="226"/>
      <c r="E101" s="226"/>
      <c r="F101" s="226"/>
      <c r="G101" s="226"/>
      <c r="H101" s="226"/>
    </row>
    <row r="102" spans="1:8" x14ac:dyDescent="0.25">
      <c r="A102" s="347" t="s">
        <v>11</v>
      </c>
      <c r="B102" s="347"/>
      <c r="C102" s="346">
        <f>C82+C95</f>
        <v>26818</v>
      </c>
      <c r="D102" s="346">
        <f>D82+D95</f>
        <v>20000</v>
      </c>
      <c r="E102" s="346">
        <f>E82+E95</f>
        <v>20000</v>
      </c>
      <c r="F102" s="346">
        <f>F82+F95</f>
        <v>20000</v>
      </c>
      <c r="G102" s="346">
        <f>G82+G95</f>
        <v>20000</v>
      </c>
      <c r="H102" s="346">
        <f>H82+H95</f>
        <v>20000</v>
      </c>
    </row>
    <row r="103" spans="1:8" x14ac:dyDescent="0.25">
      <c r="A103" s="345" t="s">
        <v>3</v>
      </c>
      <c r="B103" s="345"/>
      <c r="C103" s="344">
        <f>C102/C16</f>
        <v>1.3166900205913861E-2</v>
      </c>
      <c r="D103" s="344">
        <f>D102/D16</f>
        <v>9.7560975609756097E-3</v>
      </c>
      <c r="E103" s="344">
        <f>E102/E16</f>
        <v>9.5238095238095247E-3</v>
      </c>
      <c r="F103" s="344">
        <f>F102/F16</f>
        <v>9.0909090909090905E-3</v>
      </c>
      <c r="G103" s="344">
        <f>G102/G16</f>
        <v>8.6956521739130436E-3</v>
      </c>
      <c r="H103" s="344">
        <f>H102/H16</f>
        <v>8.3333333333333332E-3</v>
      </c>
    </row>
    <row r="104" spans="1:8" x14ac:dyDescent="0.25">
      <c r="A104" s="72"/>
      <c r="B104" s="72"/>
      <c r="C104" s="343"/>
      <c r="D104" s="343"/>
      <c r="E104" s="343"/>
      <c r="F104" s="343"/>
      <c r="G104" s="343"/>
      <c r="H104" s="343"/>
    </row>
    <row r="105" spans="1:8" ht="15" customHeight="1" x14ac:dyDescent="0.25">
      <c r="A105" s="102" t="s">
        <v>139</v>
      </c>
      <c r="B105" s="102"/>
      <c r="C105" s="102"/>
      <c r="D105" s="102"/>
      <c r="E105" s="102"/>
      <c r="F105" s="102"/>
      <c r="G105" s="102"/>
      <c r="H105" s="102"/>
    </row>
    <row r="106" spans="1:8" x14ac:dyDescent="0.25">
      <c r="A106" s="64" t="s">
        <v>154</v>
      </c>
      <c r="B106" s="70"/>
      <c r="C106" s="70"/>
      <c r="D106" s="70"/>
      <c r="E106" s="70"/>
      <c r="F106" s="70"/>
      <c r="G106" s="70"/>
      <c r="H106" s="70"/>
    </row>
    <row r="107" spans="1:8" x14ac:dyDescent="0.25">
      <c r="A107" s="64" t="s">
        <v>153</v>
      </c>
    </row>
    <row r="108" spans="1:8" ht="30" customHeight="1" x14ac:dyDescent="0.25">
      <c r="A108" s="103" t="s">
        <v>324</v>
      </c>
      <c r="B108" s="103"/>
      <c r="C108" s="103"/>
      <c r="D108" s="103"/>
      <c r="E108" s="103"/>
      <c r="F108" s="103"/>
      <c r="G108" s="103"/>
      <c r="H108" s="103"/>
    </row>
    <row r="109" spans="1:8" ht="45.75" customHeight="1" x14ac:dyDescent="0.25">
      <c r="A109" s="103" t="s">
        <v>323</v>
      </c>
      <c r="B109" s="103"/>
      <c r="C109" s="103"/>
      <c r="D109" s="103"/>
      <c r="E109" s="103"/>
      <c r="F109" s="103"/>
      <c r="G109" s="103"/>
      <c r="H109" s="103"/>
    </row>
    <row r="110" spans="1:8" ht="30" customHeight="1" x14ac:dyDescent="0.25">
      <c r="A110" s="103" t="s">
        <v>322</v>
      </c>
      <c r="B110" s="103"/>
      <c r="C110" s="103"/>
      <c r="D110" s="103"/>
      <c r="E110" s="103"/>
      <c r="F110" s="103"/>
      <c r="G110" s="103"/>
      <c r="H110" s="103"/>
    </row>
    <row r="111" spans="1:8" ht="30" customHeight="1" x14ac:dyDescent="0.25">
      <c r="A111" s="103" t="s">
        <v>321</v>
      </c>
      <c r="B111" s="103"/>
      <c r="C111" s="103"/>
      <c r="D111" s="103"/>
      <c r="E111" s="103"/>
      <c r="F111" s="103"/>
      <c r="G111" s="103"/>
      <c r="H111" s="103"/>
    </row>
    <row r="112" spans="1:8" ht="15" customHeight="1" x14ac:dyDescent="0.25">
      <c r="A112" s="103" t="s">
        <v>320</v>
      </c>
      <c r="B112" s="103"/>
      <c r="C112" s="103"/>
      <c r="D112" s="103"/>
      <c r="E112" s="103"/>
      <c r="F112" s="103"/>
      <c r="G112" s="103"/>
      <c r="H112" s="103"/>
    </row>
    <row r="113" spans="1:8" ht="15" customHeight="1" x14ac:dyDescent="0.25">
      <c r="A113" s="103" t="s">
        <v>319</v>
      </c>
      <c r="B113" s="103"/>
      <c r="C113" s="103"/>
      <c r="D113" s="103"/>
      <c r="E113" s="103"/>
      <c r="F113" s="103"/>
      <c r="G113" s="103"/>
      <c r="H113" s="103"/>
    </row>
    <row r="114" spans="1:8" ht="15" customHeight="1" x14ac:dyDescent="0.25">
      <c r="A114" s="103" t="s">
        <v>318</v>
      </c>
      <c r="B114" s="103"/>
      <c r="C114" s="103"/>
      <c r="D114" s="103"/>
      <c r="E114" s="103"/>
      <c r="F114" s="103"/>
      <c r="G114" s="103"/>
      <c r="H114" s="103"/>
    </row>
    <row r="115" spans="1:8" ht="30" customHeight="1" x14ac:dyDescent="0.25">
      <c r="A115" s="103" t="s">
        <v>317</v>
      </c>
      <c r="B115" s="103"/>
      <c r="C115" s="103"/>
      <c r="D115" s="103"/>
      <c r="E115" s="103"/>
      <c r="F115" s="103"/>
      <c r="G115" s="103"/>
      <c r="H115" s="103"/>
    </row>
    <row r="116" spans="1:8" ht="30" customHeight="1" x14ac:dyDescent="0.25">
      <c r="A116" s="103" t="s">
        <v>316</v>
      </c>
      <c r="B116" s="103"/>
      <c r="C116" s="103"/>
      <c r="D116" s="103"/>
      <c r="E116" s="103"/>
      <c r="F116" s="103"/>
      <c r="G116" s="103"/>
      <c r="H116" s="103"/>
    </row>
    <row r="117" spans="1:8" ht="30" customHeight="1" x14ac:dyDescent="0.25">
      <c r="A117" s="103" t="s">
        <v>315</v>
      </c>
      <c r="B117" s="103"/>
      <c r="C117" s="103"/>
      <c r="D117" s="103"/>
      <c r="E117" s="103"/>
      <c r="F117" s="103"/>
      <c r="G117" s="103"/>
      <c r="H117" s="103"/>
    </row>
    <row r="118" spans="1:8" ht="30" customHeight="1" x14ac:dyDescent="0.25">
      <c r="A118" s="103" t="s">
        <v>314</v>
      </c>
      <c r="B118" s="103"/>
      <c r="C118" s="103"/>
      <c r="D118" s="103"/>
      <c r="E118" s="103"/>
      <c r="F118" s="103"/>
      <c r="G118" s="103"/>
      <c r="H118" s="103"/>
    </row>
    <row r="119" spans="1:8" ht="15" customHeight="1" x14ac:dyDescent="0.25">
      <c r="A119" s="103" t="s">
        <v>313</v>
      </c>
      <c r="B119" s="103"/>
      <c r="C119" s="103"/>
      <c r="D119" s="103"/>
      <c r="E119" s="103"/>
      <c r="F119" s="103"/>
      <c r="G119" s="103"/>
      <c r="H119" s="103"/>
    </row>
    <row r="120" spans="1:8" ht="15" customHeight="1" x14ac:dyDescent="0.25">
      <c r="A120" s="103" t="s">
        <v>312</v>
      </c>
      <c r="B120" s="103"/>
      <c r="C120" s="103"/>
      <c r="D120" s="103"/>
      <c r="E120" s="103"/>
      <c r="F120" s="103"/>
      <c r="G120" s="103"/>
      <c r="H120" s="103"/>
    </row>
    <row r="121" spans="1:8" x14ac:dyDescent="0.25">
      <c r="B121" s="68"/>
    </row>
    <row r="122" spans="1:8" x14ac:dyDescent="0.25">
      <c r="B122" s="68"/>
    </row>
    <row r="123" spans="1:8" x14ac:dyDescent="0.25">
      <c r="A123" s="67" t="s">
        <v>158</v>
      </c>
      <c r="B123" s="68"/>
    </row>
    <row r="124" spans="1:8" x14ac:dyDescent="0.25">
      <c r="A124" s="64" t="s">
        <v>311</v>
      </c>
    </row>
    <row r="125" spans="1:8" x14ac:dyDescent="0.25">
      <c r="A125" s="342" t="s">
        <v>310</v>
      </c>
    </row>
    <row r="126" spans="1:8" x14ac:dyDescent="0.25">
      <c r="A126" s="342" t="s">
        <v>309</v>
      </c>
      <c r="B126" s="342"/>
    </row>
  </sheetData>
  <mergeCells count="14">
    <mergeCell ref="A118:H118"/>
    <mergeCell ref="A119:H119"/>
    <mergeCell ref="A120:H120"/>
    <mergeCell ref="A112:H112"/>
    <mergeCell ref="A113:H113"/>
    <mergeCell ref="A114:H114"/>
    <mergeCell ref="A115:H115"/>
    <mergeCell ref="A116:H116"/>
    <mergeCell ref="A105:H105"/>
    <mergeCell ref="A108:H108"/>
    <mergeCell ref="A109:H109"/>
    <mergeCell ref="A110:H110"/>
    <mergeCell ref="A111:H111"/>
    <mergeCell ref="A117:H117"/>
  </mergeCells>
  <hyperlinks>
    <hyperlink ref="A125" r:id="rId1"/>
  </hyperlinks>
  <pageMargins left="0.22013888888888899" right="0.15972222222222199" top="0.32013888888888897" bottom="0.19027777777777799" header="0.51180555555555496" footer="0.51180555555555496"/>
  <pageSetup paperSize="9" firstPageNumber="0" orientation="portrait" verticalDpi="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1" t="s">
        <v>330</v>
      </c>
    </row>
    <row r="2" spans="1:8" x14ac:dyDescent="0.25">
      <c r="A2" s="1"/>
      <c r="D2" s="380"/>
      <c r="E2" s="380"/>
      <c r="F2" s="380"/>
      <c r="G2" s="380"/>
      <c r="H2" s="380"/>
    </row>
    <row r="3" spans="1:8" x14ac:dyDescent="0.25">
      <c r="A3" s="1" t="s">
        <v>140</v>
      </c>
      <c r="B3" s="1"/>
      <c r="C3" s="1"/>
      <c r="D3" s="380"/>
      <c r="E3" s="380"/>
      <c r="F3" s="380"/>
      <c r="G3" s="380"/>
      <c r="H3" s="380"/>
    </row>
    <row r="4" spans="1:8" x14ac:dyDescent="0.25">
      <c r="A4" s="217" t="s">
        <v>157</v>
      </c>
      <c r="B4" s="217" t="s">
        <v>12</v>
      </c>
      <c r="C4" s="215" t="s">
        <v>329</v>
      </c>
      <c r="D4" s="216">
        <v>2016</v>
      </c>
      <c r="E4" s="216">
        <f>+D4+1</f>
        <v>2017</v>
      </c>
      <c r="F4" s="216">
        <f>+E4+1</f>
        <v>2018</v>
      </c>
      <c r="G4" s="216">
        <f>+F4+1</f>
        <v>2019</v>
      </c>
      <c r="H4" s="216">
        <f>+G4+1</f>
        <v>2020</v>
      </c>
    </row>
    <row r="5" spans="1:8" x14ac:dyDescent="0.25">
      <c r="A5" s="215"/>
      <c r="B5" s="215"/>
      <c r="C5" s="214"/>
      <c r="D5" s="196"/>
      <c r="E5" s="196"/>
      <c r="F5" s="196"/>
      <c r="G5" s="196"/>
      <c r="H5" s="196"/>
    </row>
    <row r="6" spans="1:8" x14ac:dyDescent="0.25">
      <c r="A6" s="198" t="s">
        <v>49</v>
      </c>
      <c r="B6" s="198"/>
      <c r="C6" s="197"/>
      <c r="D6" s="196"/>
      <c r="E6" s="196"/>
      <c r="F6" s="196"/>
      <c r="G6" s="196"/>
      <c r="H6" s="196"/>
    </row>
    <row r="7" spans="1:8" s="364" customFormat="1" ht="11.25" x14ac:dyDescent="0.2">
      <c r="A7" s="367" t="s">
        <v>13</v>
      </c>
      <c r="B7" s="367" t="s">
        <v>25</v>
      </c>
      <c r="C7" s="366"/>
      <c r="D7" s="365"/>
      <c r="E7" s="365"/>
      <c r="F7" s="365"/>
      <c r="G7" s="365"/>
      <c r="H7" s="365"/>
    </row>
    <row r="8" spans="1:8" x14ac:dyDescent="0.25">
      <c r="A8" s="203" t="s">
        <v>26</v>
      </c>
      <c r="B8" s="203" t="s">
        <v>27</v>
      </c>
      <c r="C8" s="197">
        <v>2426659.5</v>
      </c>
      <c r="D8" s="196">
        <v>2683809</v>
      </c>
      <c r="E8" s="196">
        <f>+D8*1.03</f>
        <v>2764323.27</v>
      </c>
      <c r="F8" s="196">
        <f>+E8*1.05</f>
        <v>2902539.4335000003</v>
      </c>
      <c r="G8" s="196">
        <f>+F8*1.03</f>
        <v>2989615.6165050003</v>
      </c>
      <c r="H8" s="196">
        <f>+G8*1.03</f>
        <v>3079304.0850001504</v>
      </c>
    </row>
    <row r="9" spans="1:8" s="364" customFormat="1" ht="11.25" x14ac:dyDescent="0.2">
      <c r="A9" s="367" t="s">
        <v>28</v>
      </c>
      <c r="B9" s="367" t="s">
        <v>14</v>
      </c>
      <c r="C9" s="366"/>
      <c r="D9" s="365"/>
      <c r="E9" s="365"/>
      <c r="F9" s="365"/>
      <c r="G9" s="365"/>
      <c r="H9" s="365"/>
    </row>
    <row r="10" spans="1:8" x14ac:dyDescent="0.25">
      <c r="A10" s="203" t="s">
        <v>15</v>
      </c>
      <c r="B10" s="203" t="s">
        <v>29</v>
      </c>
      <c r="C10" s="197">
        <f>6587977.79</f>
        <v>6587977.79</v>
      </c>
      <c r="D10" s="196">
        <f>5757946+55000</f>
        <v>5812946</v>
      </c>
      <c r="E10" s="196">
        <f>+D10-E29+D29</f>
        <v>6826971</v>
      </c>
      <c r="F10" s="196">
        <f>+E10-F29+E29</f>
        <v>7836479.25</v>
      </c>
      <c r="G10" s="196">
        <f>+F10-G29+F29</f>
        <v>8997413.7375000007</v>
      </c>
      <c r="H10" s="196">
        <f>+G10-H29+G29</f>
        <v>10332488.398124998</v>
      </c>
    </row>
    <row r="11" spans="1:8" x14ac:dyDescent="0.25">
      <c r="A11" s="203" t="s">
        <v>16</v>
      </c>
      <c r="B11" s="203" t="s">
        <v>30</v>
      </c>
      <c r="C11" s="197">
        <v>29050</v>
      </c>
      <c r="D11" s="196">
        <f>19943+53132</f>
        <v>73075</v>
      </c>
      <c r="E11" s="196">
        <v>24000</v>
      </c>
      <c r="F11" s="196">
        <v>14000</v>
      </c>
      <c r="G11" s="196">
        <f>+F11</f>
        <v>14000</v>
      </c>
      <c r="H11" s="196">
        <f>+G11</f>
        <v>14000</v>
      </c>
    </row>
    <row r="12" spans="1:8" s="364" customFormat="1" ht="11.25" x14ac:dyDescent="0.2">
      <c r="A12" s="367" t="s">
        <v>31</v>
      </c>
      <c r="B12" s="367" t="s">
        <v>32</v>
      </c>
      <c r="C12" s="366"/>
      <c r="D12" s="365"/>
      <c r="E12" s="365"/>
      <c r="F12" s="365"/>
      <c r="G12" s="365"/>
      <c r="H12" s="365"/>
    </row>
    <row r="13" spans="1:8" s="364" customFormat="1" ht="11.25" x14ac:dyDescent="0.2">
      <c r="A13" s="367" t="s">
        <v>17</v>
      </c>
      <c r="B13" s="367" t="s">
        <v>33</v>
      </c>
      <c r="C13" s="366"/>
      <c r="D13" s="365"/>
      <c r="E13" s="365"/>
      <c r="F13" s="365"/>
      <c r="G13" s="365"/>
      <c r="H13" s="365"/>
    </row>
    <row r="14" spans="1:8" s="364" customFormat="1" ht="11.25" x14ac:dyDescent="0.2">
      <c r="A14" s="367" t="s">
        <v>18</v>
      </c>
      <c r="B14" s="367" t="s">
        <v>34</v>
      </c>
      <c r="C14" s="366"/>
      <c r="D14" s="365"/>
      <c r="E14" s="365"/>
      <c r="F14" s="365"/>
      <c r="G14" s="365"/>
      <c r="H14" s="365"/>
    </row>
    <row r="15" spans="1:8" s="12" customFormat="1" x14ac:dyDescent="0.25">
      <c r="A15" s="203" t="s">
        <v>35</v>
      </c>
      <c r="B15" s="203" t="s">
        <v>36</v>
      </c>
      <c r="C15" s="379">
        <v>1241.93</v>
      </c>
      <c r="D15" s="196">
        <f>+C15</f>
        <v>1241.93</v>
      </c>
      <c r="E15" s="196">
        <f>+D15</f>
        <v>1241.93</v>
      </c>
      <c r="F15" s="196">
        <f>+E15</f>
        <v>1241.93</v>
      </c>
      <c r="G15" s="196">
        <f>+F15</f>
        <v>1241.93</v>
      </c>
      <c r="H15" s="196">
        <f>+G15</f>
        <v>1241.93</v>
      </c>
    </row>
    <row r="16" spans="1:8" x14ac:dyDescent="0.25">
      <c r="A16" s="198" t="s">
        <v>0</v>
      </c>
      <c r="B16" s="198"/>
      <c r="C16" s="196">
        <f>SUM(C7:C15)</f>
        <v>9044929.2199999988</v>
      </c>
      <c r="D16" s="196">
        <f>SUM(D7:D15)</f>
        <v>8571071.9299999997</v>
      </c>
      <c r="E16" s="196">
        <f>SUM(E7:E15)</f>
        <v>9616536.1999999993</v>
      </c>
      <c r="F16" s="196">
        <f>SUM(F7:F15)</f>
        <v>10754260.613499999</v>
      </c>
      <c r="G16" s="196">
        <f>SUM(G7:G15)</f>
        <v>12002271.284005001</v>
      </c>
      <c r="H16" s="196">
        <f>SUM(H7:H15)</f>
        <v>13427034.413125148</v>
      </c>
    </row>
    <row r="17" spans="1:8" x14ac:dyDescent="0.25">
      <c r="A17" s="203"/>
      <c r="B17" s="203"/>
      <c r="C17" s="196"/>
      <c r="D17" s="196"/>
      <c r="E17" s="196"/>
      <c r="F17" s="196"/>
      <c r="G17" s="196"/>
      <c r="H17" s="196"/>
    </row>
    <row r="18" spans="1:8" s="17" customFormat="1" x14ac:dyDescent="0.25">
      <c r="A18" s="207" t="s">
        <v>132</v>
      </c>
      <c r="B18" s="207"/>
      <c r="C18" s="201"/>
      <c r="D18" s="201"/>
      <c r="E18" s="201"/>
      <c r="F18" s="201"/>
      <c r="G18" s="201"/>
      <c r="H18" s="201"/>
    </row>
    <row r="19" spans="1:8" s="17" customFormat="1" x14ac:dyDescent="0.25">
      <c r="A19" s="207" t="s">
        <v>147</v>
      </c>
      <c r="B19" s="207" t="s">
        <v>115</v>
      </c>
      <c r="C19" s="201">
        <f>+SUM(C8:C9)</f>
        <v>2426659.5</v>
      </c>
      <c r="D19" s="201">
        <f>+SUM(D8:D9)</f>
        <v>2683809</v>
      </c>
      <c r="E19" s="201">
        <f>+SUM(E8:E9)</f>
        <v>2764323.27</v>
      </c>
      <c r="F19" s="201">
        <f>+SUM(F8:F9)</f>
        <v>2902539.4335000003</v>
      </c>
      <c r="G19" s="201">
        <f>+SUM(G8:G9)</f>
        <v>2989615.6165050003</v>
      </c>
      <c r="H19" s="201">
        <f>+SUM(H8:H9)</f>
        <v>3079304.0850001504</v>
      </c>
    </row>
    <row r="20" spans="1:8" s="17" customFormat="1" x14ac:dyDescent="0.25">
      <c r="A20" s="207" t="s">
        <v>148</v>
      </c>
      <c r="B20" s="207" t="s">
        <v>117</v>
      </c>
      <c r="C20" s="201">
        <f>+SUM(C10:C12)</f>
        <v>6617027.79</v>
      </c>
      <c r="D20" s="201">
        <f>+SUM(D10:D12)</f>
        <v>5886021</v>
      </c>
      <c r="E20" s="201">
        <f>+SUM(E10:E12)</f>
        <v>6850971</v>
      </c>
      <c r="F20" s="201">
        <f>+SUM(F10:F12)</f>
        <v>7850479.25</v>
      </c>
      <c r="G20" s="201">
        <f>+SUM(G10:G12)</f>
        <v>9011413.7375000007</v>
      </c>
      <c r="H20" s="201">
        <f>+SUM(H10:H12)</f>
        <v>10346488.398124998</v>
      </c>
    </row>
    <row r="21" spans="1:8" s="17" customFormat="1" x14ac:dyDescent="0.25">
      <c r="A21" s="207" t="s">
        <v>114</v>
      </c>
      <c r="B21" s="207" t="s">
        <v>116</v>
      </c>
      <c r="C21" s="201">
        <f>+C16</f>
        <v>9044929.2199999988</v>
      </c>
      <c r="D21" s="201">
        <f>+D16</f>
        <v>8571071.9299999997</v>
      </c>
      <c r="E21" s="201">
        <f>+E16</f>
        <v>9616536.1999999993</v>
      </c>
      <c r="F21" s="201">
        <f>+F16</f>
        <v>10754260.613499999</v>
      </c>
      <c r="G21" s="201">
        <f>+G16</f>
        <v>12002271.284005001</v>
      </c>
      <c r="H21" s="201">
        <f>+H16</f>
        <v>13427034.413125148</v>
      </c>
    </row>
    <row r="22" spans="1:8" x14ac:dyDescent="0.25">
      <c r="A22" s="203"/>
      <c r="B22" s="203"/>
      <c r="C22" s="197"/>
      <c r="D22" s="196"/>
      <c r="E22" s="196"/>
      <c r="F22" s="196"/>
      <c r="G22" s="196"/>
      <c r="H22" s="196"/>
    </row>
    <row r="23" spans="1:8" x14ac:dyDescent="0.25">
      <c r="A23" s="202" t="s">
        <v>149</v>
      </c>
      <c r="B23" s="203"/>
      <c r="C23" s="197"/>
      <c r="D23" s="196"/>
      <c r="E23" s="196"/>
      <c r="F23" s="196"/>
      <c r="G23" s="196"/>
      <c r="H23" s="196"/>
    </row>
    <row r="24" spans="1:8" s="364" customFormat="1" ht="11.25" x14ac:dyDescent="0.2">
      <c r="A24" s="367" t="s">
        <v>19</v>
      </c>
      <c r="B24" s="367" t="s">
        <v>37</v>
      </c>
      <c r="C24" s="366"/>
      <c r="D24" s="365"/>
      <c r="E24" s="365"/>
      <c r="F24" s="365"/>
      <c r="G24" s="365"/>
      <c r="H24" s="365"/>
    </row>
    <row r="25" spans="1:8" s="364" customFormat="1" ht="11.25" x14ac:dyDescent="0.2">
      <c r="A25" s="367" t="s">
        <v>23</v>
      </c>
      <c r="B25" s="367" t="s">
        <v>24</v>
      </c>
      <c r="C25" s="366"/>
      <c r="D25" s="365"/>
      <c r="E25" s="365"/>
      <c r="F25" s="365"/>
      <c r="G25" s="365"/>
      <c r="H25" s="365"/>
    </row>
    <row r="26" spans="1:8" s="364" customFormat="1" ht="11.25" x14ac:dyDescent="0.2">
      <c r="A26" s="367" t="s">
        <v>20</v>
      </c>
      <c r="B26" s="367" t="s">
        <v>38</v>
      </c>
      <c r="C26" s="366"/>
      <c r="D26" s="365"/>
      <c r="E26" s="365"/>
      <c r="F26" s="365"/>
      <c r="G26" s="365"/>
      <c r="H26" s="365"/>
    </row>
    <row r="27" spans="1:8" s="364" customFormat="1" ht="11.25" x14ac:dyDescent="0.2">
      <c r="A27" s="367" t="s">
        <v>21</v>
      </c>
      <c r="B27" s="367" t="s">
        <v>39</v>
      </c>
      <c r="C27" s="366"/>
      <c r="D27" s="365"/>
      <c r="E27" s="365"/>
      <c r="F27" s="365"/>
      <c r="G27" s="365"/>
      <c r="H27" s="365"/>
    </row>
    <row r="28" spans="1:8" x14ac:dyDescent="0.25">
      <c r="A28" s="203" t="s">
        <v>22</v>
      </c>
      <c r="B28" s="203" t="s">
        <v>40</v>
      </c>
      <c r="C28" s="378">
        <v>-8208577.5</v>
      </c>
      <c r="D28" s="196">
        <f>-(18928861-10283878)+75720</f>
        <v>-8569263</v>
      </c>
      <c r="E28" s="196">
        <f>+(D28-D29)*1.03+E29+54158</f>
        <v>-9614726.9900000002</v>
      </c>
      <c r="F28" s="196">
        <f>+(E28-E29)*1.05+F29+16018</f>
        <v>-10752450.839499999</v>
      </c>
      <c r="G28" s="196">
        <f>+(F28-F29)*1.05+G29+63568</f>
        <v>-12000461.706474999</v>
      </c>
      <c r="H28" s="196">
        <f>+(G28-G29)*1.05+H29+65309</f>
        <v>-13425225.565548748</v>
      </c>
    </row>
    <row r="29" spans="1:8" x14ac:dyDescent="0.25">
      <c r="A29" s="202" t="s">
        <v>155</v>
      </c>
      <c r="B29" s="202" t="s">
        <v>156</v>
      </c>
      <c r="C29" s="197">
        <v>-5395533</v>
      </c>
      <c r="D29" s="196">
        <v>-5716030</v>
      </c>
      <c r="E29" s="196">
        <f>+D29-(32064+244277+9509+728175)</f>
        <v>-6730055</v>
      </c>
      <c r="F29" s="196">
        <f>+E29*1.15</f>
        <v>-7739563.2499999991</v>
      </c>
      <c r="G29" s="196">
        <f>+F29*1.15</f>
        <v>-8900497.7374999989</v>
      </c>
      <c r="H29" s="196">
        <f>+G29*1.15</f>
        <v>-10235572.398124998</v>
      </c>
    </row>
    <row r="30" spans="1:8" x14ac:dyDescent="0.25">
      <c r="A30" s="203" t="s">
        <v>41</v>
      </c>
      <c r="B30" s="203" t="s">
        <v>42</v>
      </c>
      <c r="C30" s="378">
        <v>-1809.28</v>
      </c>
      <c r="D30" s="196">
        <f>+C30</f>
        <v>-1809.28</v>
      </c>
      <c r="E30" s="196">
        <f>+D30</f>
        <v>-1809.28</v>
      </c>
      <c r="F30" s="196">
        <f>+E30</f>
        <v>-1809.28</v>
      </c>
      <c r="G30" s="196">
        <f>+F30</f>
        <v>-1809.28</v>
      </c>
      <c r="H30" s="196">
        <f>+G30</f>
        <v>-1809.28</v>
      </c>
    </row>
    <row r="31" spans="1:8" s="364" customFormat="1" ht="11.25" x14ac:dyDescent="0.2">
      <c r="A31" s="367" t="s">
        <v>43</v>
      </c>
      <c r="B31" s="367" t="s">
        <v>44</v>
      </c>
      <c r="C31" s="366"/>
      <c r="D31" s="365"/>
      <c r="E31" s="365"/>
      <c r="F31" s="365"/>
      <c r="G31" s="365"/>
      <c r="H31" s="365"/>
    </row>
    <row r="32" spans="1:8" x14ac:dyDescent="0.25">
      <c r="A32" s="203" t="s">
        <v>45</v>
      </c>
      <c r="B32" s="203" t="s">
        <v>46</v>
      </c>
      <c r="C32" s="378">
        <v>-250</v>
      </c>
      <c r="D32" s="197">
        <v>0</v>
      </c>
      <c r="E32" s="196">
        <f>+D32</f>
        <v>0</v>
      </c>
      <c r="F32" s="196">
        <f>+E32</f>
        <v>0</v>
      </c>
      <c r="G32" s="196">
        <f>+F32</f>
        <v>0</v>
      </c>
      <c r="H32" s="196">
        <f>+G32</f>
        <v>0</v>
      </c>
    </row>
    <row r="33" spans="1:8" x14ac:dyDescent="0.25">
      <c r="A33" s="203" t="s">
        <v>47</v>
      </c>
      <c r="B33" s="203" t="s">
        <v>48</v>
      </c>
      <c r="C33" s="378">
        <v>0.7</v>
      </c>
      <c r="D33" s="197">
        <v>0</v>
      </c>
      <c r="E33" s="196">
        <f>+D33</f>
        <v>0</v>
      </c>
      <c r="F33" s="196">
        <f>+E33</f>
        <v>0</v>
      </c>
      <c r="G33" s="196">
        <f>+F33</f>
        <v>0</v>
      </c>
      <c r="H33" s="196">
        <f>+G33</f>
        <v>0</v>
      </c>
    </row>
    <row r="34" spans="1:8" x14ac:dyDescent="0.25">
      <c r="A34" s="198" t="s">
        <v>1</v>
      </c>
      <c r="B34" s="198"/>
      <c r="C34" s="196">
        <f>SUM(C24:C28)+SUM(C30:C33)</f>
        <v>-8210636.0800000001</v>
      </c>
      <c r="D34" s="377">
        <f>SUM(D24:D28)+SUM(D30:D33)</f>
        <v>-8571072.2799999993</v>
      </c>
      <c r="E34" s="377">
        <f>SUM(E24:E28)+SUM(E30:E33)</f>
        <v>-9616536.2699999996</v>
      </c>
      <c r="F34" s="377">
        <f>SUM(F24:F28)+SUM(F30:F33)</f>
        <v>-10754260.119499998</v>
      </c>
      <c r="G34" s="377">
        <f>SUM(G24:G28)+SUM(G30:G33)</f>
        <v>-12002270.986474998</v>
      </c>
      <c r="H34" s="377">
        <f>SUM(H24:H28)+SUM(H30:H33)</f>
        <v>-13427034.845548747</v>
      </c>
    </row>
    <row r="35" spans="1:8" x14ac:dyDescent="0.25">
      <c r="A35" s="198"/>
      <c r="B35" s="198"/>
      <c r="C35" s="196"/>
      <c r="D35" s="196"/>
      <c r="E35" s="196"/>
      <c r="F35" s="196"/>
      <c r="G35" s="196"/>
      <c r="H35" s="196"/>
    </row>
    <row r="36" spans="1:8" s="17" customFormat="1" x14ac:dyDescent="0.25">
      <c r="A36" s="200" t="s">
        <v>150</v>
      </c>
      <c r="B36" s="200"/>
      <c r="C36" s="201"/>
      <c r="D36" s="201"/>
      <c r="E36" s="201"/>
      <c r="F36" s="201"/>
      <c r="G36" s="201"/>
      <c r="H36" s="201"/>
    </row>
    <row r="37" spans="1:8" s="17" customFormat="1" x14ac:dyDescent="0.25">
      <c r="A37" s="200" t="s">
        <v>119</v>
      </c>
      <c r="B37" s="200" t="s">
        <v>118</v>
      </c>
      <c r="C37" s="201">
        <v>0</v>
      </c>
      <c r="D37" s="201">
        <v>0</v>
      </c>
      <c r="E37" s="201">
        <v>0</v>
      </c>
      <c r="F37" s="201">
        <v>0</v>
      </c>
      <c r="G37" s="201">
        <v>0</v>
      </c>
      <c r="H37" s="201">
        <v>0</v>
      </c>
    </row>
    <row r="38" spans="1:8" s="17" customFormat="1" x14ac:dyDescent="0.25">
      <c r="A38" s="200" t="s">
        <v>133</v>
      </c>
      <c r="B38" s="200" t="s">
        <v>134</v>
      </c>
      <c r="C38" s="376">
        <f>+C28</f>
        <v>-8208577.5</v>
      </c>
      <c r="D38" s="201">
        <f>+D28</f>
        <v>-8569263</v>
      </c>
      <c r="E38" s="201">
        <f>+E28</f>
        <v>-9614726.9900000002</v>
      </c>
      <c r="F38" s="201">
        <f>+F28</f>
        <v>-10752450.839499999</v>
      </c>
      <c r="G38" s="201">
        <f>+G28</f>
        <v>-12000461.706474999</v>
      </c>
      <c r="H38" s="201">
        <f>+H28</f>
        <v>-13425225.565548748</v>
      </c>
    </row>
    <row r="39" spans="1:8" s="17" customFormat="1" x14ac:dyDescent="0.25">
      <c r="A39" s="200" t="s">
        <v>136</v>
      </c>
      <c r="B39" s="200" t="s">
        <v>135</v>
      </c>
      <c r="C39" s="376">
        <f>-520696.48-C60</f>
        <v>-536307.16</v>
      </c>
      <c r="D39" s="201">
        <f>-(-C39+C40)+D40</f>
        <v>-872754.81772633153</v>
      </c>
      <c r="E39" s="201">
        <f>-(-D39+D40)+E40</f>
        <v>-1162196.2498230643</v>
      </c>
      <c r="F39" s="201">
        <f>-(-E39+E40)+F40</f>
        <v>-1189735.1958579028</v>
      </c>
      <c r="G39" s="201">
        <f>-(-F39+F40)+G40</f>
        <v>-1322502.2982347698</v>
      </c>
      <c r="H39" s="201">
        <f>-(-G39+G40)+H40</f>
        <v>-1455269.4006116369</v>
      </c>
    </row>
    <row r="40" spans="1:8" s="17" customFormat="1" x14ac:dyDescent="0.25">
      <c r="A40" s="200" t="s">
        <v>138</v>
      </c>
      <c r="B40" s="200" t="s">
        <v>120</v>
      </c>
      <c r="C40" s="199">
        <v>-534248.57999999996</v>
      </c>
      <c r="D40" s="201">
        <f>C40/C98*D98</f>
        <v>-870696.23772633146</v>
      </c>
      <c r="E40" s="201">
        <f>D40/D98*E98</f>
        <v>-1160137.6698230642</v>
      </c>
      <c r="F40" s="201">
        <f>E40/E98*F98</f>
        <v>-1187676.6158579027</v>
      </c>
      <c r="G40" s="201">
        <f>F40/F98*G98</f>
        <v>-1320443.7182347698</v>
      </c>
      <c r="H40" s="201">
        <f>G40/G98*H98</f>
        <v>-1453210.8206116369</v>
      </c>
    </row>
    <row r="41" spans="1:8" s="17" customFormat="1" x14ac:dyDescent="0.25">
      <c r="A41" s="200" t="s">
        <v>113</v>
      </c>
      <c r="B41" s="200" t="s">
        <v>137</v>
      </c>
      <c r="C41" s="201">
        <f>SUM(C37:C39)</f>
        <v>-8744884.6600000001</v>
      </c>
      <c r="D41" s="201">
        <f>SUM(D37:D39)</f>
        <v>-9442017.8177263308</v>
      </c>
      <c r="E41" s="201">
        <f>SUM(E37:E39)</f>
        <v>-10776923.239823064</v>
      </c>
      <c r="F41" s="201">
        <f>SUM(F37:F39)</f>
        <v>-11942186.035357902</v>
      </c>
      <c r="G41" s="201">
        <f>SUM(G37:G39)</f>
        <v>-13322964.004709769</v>
      </c>
      <c r="H41" s="201">
        <f>SUM(H37:H39)</f>
        <v>-14880494.966160385</v>
      </c>
    </row>
    <row r="42" spans="1:8" x14ac:dyDescent="0.25">
      <c r="A42" s="198"/>
      <c r="B42" s="198"/>
      <c r="C42" s="197"/>
      <c r="D42" s="196"/>
      <c r="E42" s="196"/>
      <c r="F42" s="196"/>
      <c r="G42" s="196"/>
      <c r="H42" s="196"/>
    </row>
    <row r="43" spans="1:8" x14ac:dyDescent="0.25">
      <c r="A43" s="195" t="s">
        <v>2</v>
      </c>
      <c r="B43" s="195"/>
      <c r="C43" s="194">
        <f>C16+C41</f>
        <v>300044.55999999866</v>
      </c>
      <c r="D43" s="194">
        <f>D16+D34</f>
        <v>-0.34999999962747097</v>
      </c>
      <c r="E43" s="194">
        <f>E16+E34</f>
        <v>-7.0000000298023224E-2</v>
      </c>
      <c r="F43" s="194">
        <f>F16+F34</f>
        <v>0.49400000087916851</v>
      </c>
      <c r="G43" s="194">
        <f>G16+G34</f>
        <v>0.29753000289201736</v>
      </c>
      <c r="H43" s="194">
        <f>H16+H34</f>
        <v>-0.43242359906435013</v>
      </c>
    </row>
    <row r="44" spans="1:8" x14ac:dyDescent="0.25">
      <c r="A44" s="193" t="s">
        <v>3</v>
      </c>
      <c r="B44" s="193"/>
      <c r="C44" s="375">
        <f>C43/C16</f>
        <v>3.3172681919560527E-2</v>
      </c>
      <c r="D44" s="375">
        <f>D43/D16</f>
        <v>-4.0835032360703917E-8</v>
      </c>
      <c r="E44" s="375">
        <f>E43/E16</f>
        <v>-7.2791282476556607E-9</v>
      </c>
      <c r="F44" s="375">
        <f>F43/F16</f>
        <v>4.5935282641285651E-8</v>
      </c>
      <c r="G44" s="375">
        <f>G43/G16</f>
        <v>2.4789474912846286E-8</v>
      </c>
      <c r="H44" s="375">
        <f>H43/H16</f>
        <v>-3.2205443567020943E-8</v>
      </c>
    </row>
    <row r="45" spans="1:8" x14ac:dyDescent="0.25">
      <c r="A45" s="193"/>
      <c r="B45" s="193"/>
      <c r="C45" s="211"/>
      <c r="D45" s="211"/>
      <c r="E45" s="211"/>
      <c r="F45" s="211"/>
      <c r="G45" s="211"/>
      <c r="H45" s="211"/>
    </row>
    <row r="46" spans="1:8" s="17" customFormat="1" x14ac:dyDescent="0.25">
      <c r="A46" s="213" t="s">
        <v>130</v>
      </c>
      <c r="B46" s="213" t="s">
        <v>141</v>
      </c>
      <c r="C46" s="212">
        <f>C21+C41</f>
        <v>300044.55999999866</v>
      </c>
      <c r="D46" s="212">
        <f>D21+D41</f>
        <v>-870945.88772633113</v>
      </c>
      <c r="E46" s="212">
        <f>E21+E41</f>
        <v>-1160387.0398230646</v>
      </c>
      <c r="F46" s="212">
        <f>F21+F41</f>
        <v>-1187925.4218579028</v>
      </c>
      <c r="G46" s="212">
        <f>G21+G41</f>
        <v>-1320692.7207047679</v>
      </c>
      <c r="H46" s="212">
        <f>H21+H41</f>
        <v>-1453460.5530352369</v>
      </c>
    </row>
    <row r="47" spans="1:8" x14ac:dyDescent="0.25">
      <c r="A47" s="193"/>
      <c r="B47" s="193"/>
      <c r="C47" s="211"/>
      <c r="D47" s="211"/>
      <c r="E47" s="211"/>
      <c r="F47" s="211"/>
      <c r="G47" s="211"/>
      <c r="H47" s="211"/>
    </row>
    <row r="48" spans="1:8" x14ac:dyDescent="0.25">
      <c r="A48" s="198" t="s">
        <v>151</v>
      </c>
      <c r="B48" s="198"/>
      <c r="C48" s="197"/>
      <c r="D48" s="196"/>
      <c r="E48" s="196"/>
      <c r="F48" s="196"/>
      <c r="G48" s="196"/>
      <c r="H48" s="196"/>
    </row>
    <row r="49" spans="1:8" x14ac:dyDescent="0.25">
      <c r="A49" s="202" t="s">
        <v>107</v>
      </c>
      <c r="B49" s="198"/>
      <c r="C49" s="197">
        <v>-988954.17</v>
      </c>
      <c r="D49" s="196">
        <v>-7188698</v>
      </c>
      <c r="E49" s="196">
        <f>-(6064341+120000)</f>
        <v>-6184341</v>
      </c>
      <c r="F49" s="196">
        <v>-588410</v>
      </c>
      <c r="G49" s="196">
        <v>-2836764</v>
      </c>
      <c r="H49" s="196">
        <v>-2836764</v>
      </c>
    </row>
    <row r="50" spans="1:8" x14ac:dyDescent="0.25">
      <c r="A50" s="202" t="s">
        <v>142</v>
      </c>
      <c r="B50" s="198"/>
      <c r="C50" s="197">
        <v>0</v>
      </c>
      <c r="D50" s="197">
        <v>0</v>
      </c>
      <c r="E50" s="197">
        <v>0</v>
      </c>
      <c r="F50" s="197">
        <v>0</v>
      </c>
      <c r="G50" s="197">
        <v>0</v>
      </c>
      <c r="H50" s="197">
        <v>0</v>
      </c>
    </row>
    <row r="51" spans="1:8" x14ac:dyDescent="0.25">
      <c r="A51" s="202" t="s">
        <v>4</v>
      </c>
      <c r="B51" s="198"/>
      <c r="C51" s="197">
        <v>988954.17</v>
      </c>
      <c r="D51" s="196">
        <v>2000000</v>
      </c>
      <c r="E51" s="196">
        <f>2000000+120000</f>
        <v>2120000</v>
      </c>
      <c r="F51" s="196">
        <v>588410</v>
      </c>
      <c r="G51" s="196">
        <v>2836764</v>
      </c>
      <c r="H51" s="196">
        <v>2836764</v>
      </c>
    </row>
    <row r="52" spans="1:8" s="364" customFormat="1" ht="11.25" x14ac:dyDescent="0.2">
      <c r="A52" s="367" t="s">
        <v>5</v>
      </c>
      <c r="B52" s="373"/>
      <c r="C52" s="366"/>
      <c r="D52" s="365"/>
      <c r="E52" s="365"/>
      <c r="F52" s="365"/>
      <c r="G52" s="365"/>
      <c r="H52" s="365"/>
    </row>
    <row r="53" spans="1:8" s="364" customFormat="1" ht="11.25" x14ac:dyDescent="0.2">
      <c r="A53" s="367" t="s">
        <v>143</v>
      </c>
      <c r="B53" s="373"/>
      <c r="C53" s="366"/>
      <c r="D53" s="365"/>
      <c r="E53" s="365"/>
      <c r="F53" s="365"/>
      <c r="G53" s="365"/>
      <c r="H53" s="365"/>
    </row>
    <row r="54" spans="1:8" s="364" customFormat="1" ht="11.25" x14ac:dyDescent="0.2">
      <c r="A54" s="367" t="s">
        <v>108</v>
      </c>
      <c r="B54" s="373"/>
      <c r="C54" s="366"/>
      <c r="D54" s="365"/>
      <c r="E54" s="365"/>
      <c r="F54" s="365"/>
      <c r="G54" s="365"/>
      <c r="H54" s="365"/>
    </row>
    <row r="55" spans="1:8" s="364" customFormat="1" ht="11.25" x14ac:dyDescent="0.2">
      <c r="A55" s="367" t="s">
        <v>144</v>
      </c>
      <c r="B55" s="373"/>
      <c r="C55" s="366"/>
      <c r="D55" s="365"/>
      <c r="E55" s="365"/>
      <c r="F55" s="365"/>
      <c r="G55" s="365"/>
      <c r="H55" s="365"/>
    </row>
    <row r="56" spans="1:8" s="364" customFormat="1" ht="11.25" x14ac:dyDescent="0.2">
      <c r="A56" s="367" t="s">
        <v>109</v>
      </c>
      <c r="B56" s="373"/>
      <c r="C56" s="366"/>
      <c r="D56" s="365"/>
      <c r="E56" s="365"/>
      <c r="F56" s="365"/>
      <c r="G56" s="365"/>
      <c r="H56" s="365"/>
    </row>
    <row r="57" spans="1:8" s="364" customFormat="1" ht="11.25" x14ac:dyDescent="0.2">
      <c r="A57" s="367" t="s">
        <v>145</v>
      </c>
      <c r="B57" s="373"/>
      <c r="C57" s="366"/>
      <c r="D57" s="365"/>
      <c r="E57" s="365"/>
      <c r="F57" s="365"/>
      <c r="G57" s="365"/>
      <c r="H57" s="365"/>
    </row>
    <row r="58" spans="1:8" s="364" customFormat="1" ht="11.25" x14ac:dyDescent="0.2">
      <c r="A58" s="367" t="s">
        <v>110</v>
      </c>
      <c r="B58" s="373"/>
      <c r="C58" s="366"/>
      <c r="D58" s="365"/>
      <c r="E58" s="365"/>
      <c r="F58" s="365"/>
      <c r="G58" s="365"/>
      <c r="H58" s="365"/>
    </row>
    <row r="59" spans="1:8" s="364" customFormat="1" ht="11.25" x14ac:dyDescent="0.2">
      <c r="A59" s="367" t="s">
        <v>146</v>
      </c>
      <c r="B59" s="373"/>
      <c r="C59" s="366"/>
      <c r="D59" s="365"/>
      <c r="E59" s="365"/>
      <c r="F59" s="365"/>
      <c r="G59" s="365"/>
      <c r="H59" s="365"/>
    </row>
    <row r="60" spans="1:8" x14ac:dyDescent="0.25">
      <c r="A60" s="202" t="s">
        <v>111</v>
      </c>
      <c r="B60" s="198"/>
      <c r="C60" s="197">
        <v>15610.68</v>
      </c>
      <c r="D60" s="196">
        <f>+C60*50%</f>
        <v>7805.34</v>
      </c>
      <c r="E60" s="196">
        <v>0</v>
      </c>
      <c r="F60" s="197">
        <v>0</v>
      </c>
      <c r="G60" s="197">
        <v>0</v>
      </c>
      <c r="H60" s="197">
        <v>0</v>
      </c>
    </row>
    <row r="61" spans="1:8" s="364" customFormat="1" ht="11.25" x14ac:dyDescent="0.2">
      <c r="A61" s="367" t="s">
        <v>112</v>
      </c>
      <c r="B61" s="373"/>
      <c r="C61" s="366"/>
      <c r="D61" s="365"/>
      <c r="E61" s="365"/>
      <c r="F61" s="365"/>
      <c r="G61" s="365"/>
      <c r="H61" s="365"/>
    </row>
    <row r="62" spans="1:8" s="17" customFormat="1" x14ac:dyDescent="0.25">
      <c r="A62" s="210" t="s">
        <v>6</v>
      </c>
      <c r="B62" s="210"/>
      <c r="C62" s="204">
        <f>SUM(C49:C61)</f>
        <v>15610.68</v>
      </c>
      <c r="D62" s="204">
        <f>SUM(D49:D61)</f>
        <v>-5180892.66</v>
      </c>
      <c r="E62" s="204">
        <f>SUM(E49:E61)</f>
        <v>-4064341</v>
      </c>
      <c r="F62" s="204">
        <f>SUM(F49:F61)</f>
        <v>0</v>
      </c>
      <c r="G62" s="204">
        <f>SUM(G49:G61)</f>
        <v>0</v>
      </c>
      <c r="H62" s="204">
        <f>SUM(H49:H61)</f>
        <v>0</v>
      </c>
    </row>
    <row r="63" spans="1:8" s="17" customFormat="1" x14ac:dyDescent="0.25">
      <c r="A63" s="210"/>
      <c r="B63" s="210"/>
      <c r="C63" s="205"/>
      <c r="D63" s="204"/>
      <c r="E63" s="204"/>
      <c r="F63" s="204"/>
      <c r="G63" s="204"/>
      <c r="H63" s="204"/>
    </row>
    <row r="64" spans="1:8" s="17" customFormat="1" x14ac:dyDescent="0.25">
      <c r="A64" s="195" t="s">
        <v>7</v>
      </c>
      <c r="B64" s="195"/>
      <c r="C64" s="374">
        <f>C43+C62</f>
        <v>315655.23999999865</v>
      </c>
      <c r="D64" s="194">
        <f>D43+D62</f>
        <v>-5180893.01</v>
      </c>
      <c r="E64" s="194">
        <f>E43+E62</f>
        <v>-4064341.0700000003</v>
      </c>
      <c r="F64" s="194">
        <f>F43+F62</f>
        <v>0.49400000087916851</v>
      </c>
      <c r="G64" s="194">
        <f>G43+G62</f>
        <v>0.29753000289201736</v>
      </c>
      <c r="H64" s="194">
        <f>H43+H62</f>
        <v>-0.43242359906435013</v>
      </c>
    </row>
    <row r="65" spans="1:8" s="17" customFormat="1" x14ac:dyDescent="0.25">
      <c r="A65" s="210"/>
      <c r="B65" s="210"/>
      <c r="C65" s="205"/>
      <c r="D65" s="204"/>
      <c r="E65" s="204"/>
      <c r="F65" s="204"/>
      <c r="G65" s="204"/>
      <c r="H65" s="204"/>
    </row>
    <row r="66" spans="1:8" s="17" customFormat="1" x14ac:dyDescent="0.25">
      <c r="A66" s="210" t="s">
        <v>93</v>
      </c>
      <c r="B66" s="210"/>
      <c r="C66" s="205"/>
      <c r="D66" s="204"/>
      <c r="E66" s="204"/>
      <c r="F66" s="204"/>
      <c r="G66" s="204"/>
      <c r="H66" s="204"/>
    </row>
    <row r="67" spans="1:8" s="364" customFormat="1" ht="11.25" x14ac:dyDescent="0.2">
      <c r="A67" s="367" t="s">
        <v>59</v>
      </c>
      <c r="B67" s="367" t="s">
        <v>50</v>
      </c>
      <c r="C67" s="366">
        <v>0</v>
      </c>
      <c r="D67" s="366"/>
      <c r="E67" s="366"/>
      <c r="F67" s="366"/>
      <c r="G67" s="366"/>
      <c r="H67" s="366"/>
    </row>
    <row r="68" spans="1:8" s="364" customFormat="1" ht="11.25" x14ac:dyDescent="0.2">
      <c r="A68" s="367" t="s">
        <v>60</v>
      </c>
      <c r="B68" s="367" t="s">
        <v>129</v>
      </c>
      <c r="C68" s="366">
        <v>0</v>
      </c>
      <c r="D68" s="366"/>
      <c r="E68" s="366"/>
      <c r="F68" s="366"/>
      <c r="G68" s="366"/>
      <c r="H68" s="366"/>
    </row>
    <row r="69" spans="1:8" s="364" customFormat="1" ht="33.75" x14ac:dyDescent="0.2">
      <c r="A69" s="367" t="s">
        <v>61</v>
      </c>
      <c r="B69" s="373" t="s">
        <v>51</v>
      </c>
      <c r="C69" s="366">
        <v>0</v>
      </c>
      <c r="D69" s="365"/>
      <c r="E69" s="365"/>
      <c r="F69" s="365"/>
      <c r="G69" s="365"/>
      <c r="H69" s="365"/>
    </row>
    <row r="70" spans="1:8" s="364" customFormat="1" ht="11.25" x14ac:dyDescent="0.2">
      <c r="A70" s="367" t="s">
        <v>52</v>
      </c>
      <c r="B70" s="367" t="s">
        <v>62</v>
      </c>
      <c r="C70" s="366">
        <v>0</v>
      </c>
      <c r="D70" s="365"/>
      <c r="E70" s="365"/>
      <c r="F70" s="365"/>
      <c r="G70" s="365"/>
      <c r="H70" s="365"/>
    </row>
    <row r="71" spans="1:8" s="364" customFormat="1" ht="11.25" x14ac:dyDescent="0.2">
      <c r="A71" s="367" t="s">
        <v>63</v>
      </c>
      <c r="B71" s="367" t="s">
        <v>64</v>
      </c>
      <c r="C71" s="366">
        <v>0</v>
      </c>
      <c r="D71" s="365"/>
      <c r="E71" s="365"/>
      <c r="F71" s="365"/>
      <c r="G71" s="365"/>
      <c r="H71" s="365"/>
    </row>
    <row r="72" spans="1:8" s="368" customFormat="1" ht="11.25" x14ac:dyDescent="0.2">
      <c r="A72" s="372" t="s">
        <v>65</v>
      </c>
      <c r="B72" s="372" t="s">
        <v>328</v>
      </c>
      <c r="C72" s="370">
        <v>0</v>
      </c>
      <c r="D72" s="369"/>
      <c r="E72" s="369"/>
      <c r="F72" s="369"/>
      <c r="G72" s="369"/>
      <c r="H72" s="369"/>
    </row>
    <row r="73" spans="1:8" s="364" customFormat="1" ht="11.25" x14ac:dyDescent="0.2">
      <c r="A73" s="367" t="s">
        <v>67</v>
      </c>
      <c r="B73" s="367" t="s">
        <v>68</v>
      </c>
      <c r="C73" s="366">
        <v>0</v>
      </c>
      <c r="D73" s="365"/>
      <c r="E73" s="365"/>
      <c r="F73" s="365"/>
      <c r="G73" s="365"/>
      <c r="H73" s="365"/>
    </row>
    <row r="74" spans="1:8" s="364" customFormat="1" ht="11.25" x14ac:dyDescent="0.2">
      <c r="A74" s="367" t="s">
        <v>53</v>
      </c>
      <c r="B74" s="367" t="s">
        <v>69</v>
      </c>
      <c r="C74" s="366">
        <v>0</v>
      </c>
      <c r="D74" s="365"/>
      <c r="E74" s="365"/>
      <c r="F74" s="365"/>
      <c r="G74" s="365"/>
      <c r="H74" s="365"/>
    </row>
    <row r="75" spans="1:8" s="364" customFormat="1" ht="11.25" x14ac:dyDescent="0.2">
      <c r="A75" s="367" t="s">
        <v>70</v>
      </c>
      <c r="B75" s="367" t="s">
        <v>71</v>
      </c>
      <c r="C75" s="366">
        <v>0</v>
      </c>
      <c r="D75" s="365"/>
      <c r="E75" s="365"/>
      <c r="F75" s="365"/>
      <c r="G75" s="365"/>
      <c r="H75" s="365"/>
    </row>
    <row r="76" spans="1:8" s="364" customFormat="1" ht="11.25" x14ac:dyDescent="0.2">
      <c r="A76" s="367" t="s">
        <v>54</v>
      </c>
      <c r="B76" s="367" t="s">
        <v>58</v>
      </c>
      <c r="C76" s="366">
        <v>0</v>
      </c>
      <c r="D76" s="365"/>
      <c r="E76" s="365"/>
      <c r="F76" s="365"/>
      <c r="G76" s="365"/>
      <c r="H76" s="365"/>
    </row>
    <row r="77" spans="1:8" s="364" customFormat="1" ht="11.25" x14ac:dyDescent="0.2">
      <c r="A77" s="367" t="s">
        <v>55</v>
      </c>
      <c r="B77" s="367" t="s">
        <v>72</v>
      </c>
      <c r="C77" s="366">
        <v>0</v>
      </c>
      <c r="D77" s="365"/>
      <c r="E77" s="365"/>
      <c r="F77" s="365"/>
      <c r="G77" s="365"/>
      <c r="H77" s="365"/>
    </row>
    <row r="78" spans="1:8" s="368" customFormat="1" ht="33.75" x14ac:dyDescent="0.2">
      <c r="A78" s="372" t="s">
        <v>73</v>
      </c>
      <c r="B78" s="371" t="s">
        <v>74</v>
      </c>
      <c r="C78" s="370">
        <v>0</v>
      </c>
      <c r="D78" s="369"/>
      <c r="E78" s="369"/>
      <c r="F78" s="369"/>
      <c r="G78" s="369"/>
      <c r="H78" s="369"/>
    </row>
    <row r="79" spans="1:8" s="364" customFormat="1" ht="11.25" x14ac:dyDescent="0.2">
      <c r="A79" s="367" t="s">
        <v>56</v>
      </c>
      <c r="B79" s="367" t="s">
        <v>75</v>
      </c>
      <c r="C79" s="366"/>
      <c r="D79" s="365"/>
      <c r="E79" s="365"/>
      <c r="F79" s="365"/>
      <c r="G79" s="365"/>
      <c r="H79" s="365"/>
    </row>
    <row r="80" spans="1:8" x14ac:dyDescent="0.25">
      <c r="A80" s="203" t="s">
        <v>76</v>
      </c>
      <c r="B80" s="203" t="s">
        <v>77</v>
      </c>
      <c r="C80" s="197">
        <v>8349744.79</v>
      </c>
      <c r="D80" s="196">
        <f>+C80+D51+D49</f>
        <v>3161046.7899999991</v>
      </c>
      <c r="E80" s="196">
        <v>0</v>
      </c>
      <c r="F80" s="196">
        <v>0</v>
      </c>
      <c r="G80" s="196">
        <v>0</v>
      </c>
      <c r="H80" s="196">
        <v>0</v>
      </c>
    </row>
    <row r="81" spans="1:8" s="364" customFormat="1" ht="15" customHeight="1" x14ac:dyDescent="0.2">
      <c r="A81" s="367" t="s">
        <v>57</v>
      </c>
      <c r="B81" s="367" t="s">
        <v>78</v>
      </c>
      <c r="C81" s="366">
        <v>0</v>
      </c>
      <c r="D81" s="365"/>
      <c r="E81" s="365"/>
      <c r="F81" s="365"/>
      <c r="G81" s="365"/>
      <c r="H81" s="365"/>
    </row>
    <row r="82" spans="1:8" x14ac:dyDescent="0.25">
      <c r="A82" s="198" t="s">
        <v>8</v>
      </c>
      <c r="B82" s="198"/>
      <c r="C82" s="196">
        <f>SUM(C67:C81)</f>
        <v>8349744.79</v>
      </c>
      <c r="D82" s="196">
        <f>SUM(D67:D81)</f>
        <v>3161046.7899999991</v>
      </c>
      <c r="E82" s="196">
        <f>SUM(E67:E81)</f>
        <v>0</v>
      </c>
      <c r="F82" s="196">
        <f>SUM(F67:F81)</f>
        <v>0</v>
      </c>
      <c r="G82" s="196">
        <f>SUM(G67:G81)</f>
        <v>0</v>
      </c>
      <c r="H82" s="196">
        <f>SUM(H67:H81)</f>
        <v>0</v>
      </c>
    </row>
    <row r="83" spans="1:8" x14ac:dyDescent="0.25">
      <c r="A83" s="198"/>
      <c r="B83" s="198"/>
      <c r="C83" s="197"/>
      <c r="D83" s="196"/>
      <c r="E83" s="196"/>
      <c r="F83" s="196"/>
      <c r="G83" s="196"/>
      <c r="H83" s="196"/>
    </row>
    <row r="84" spans="1:8" s="17" customFormat="1" x14ac:dyDescent="0.25">
      <c r="A84" s="200" t="s">
        <v>125</v>
      </c>
      <c r="B84" s="207" t="s">
        <v>124</v>
      </c>
      <c r="C84" s="199">
        <v>10100315.52</v>
      </c>
      <c r="D84" s="201">
        <f>+D82+(C84-C82)</f>
        <v>4911617.5199999986</v>
      </c>
      <c r="E84" s="201">
        <f>+E82+(D84-D82)</f>
        <v>1750570.7299999995</v>
      </c>
      <c r="F84" s="201">
        <f>+F82+(E84-E82)</f>
        <v>1750570.7299999995</v>
      </c>
      <c r="G84" s="201">
        <f>+G82+(F84-F82)</f>
        <v>1750570.7299999995</v>
      </c>
      <c r="H84" s="201">
        <f>+H82+(G84-G82)</f>
        <v>1750570.7299999995</v>
      </c>
    </row>
    <row r="85" spans="1:8" x14ac:dyDescent="0.25">
      <c r="A85" s="198"/>
      <c r="B85" s="198"/>
      <c r="C85" s="197"/>
      <c r="D85" s="196"/>
      <c r="E85" s="196"/>
      <c r="F85" s="196"/>
      <c r="G85" s="196"/>
      <c r="H85" s="196"/>
    </row>
    <row r="86" spans="1:8" x14ac:dyDescent="0.25">
      <c r="A86" s="198" t="s">
        <v>152</v>
      </c>
      <c r="B86" s="198"/>
      <c r="C86" s="197"/>
      <c r="D86" s="196"/>
      <c r="E86" s="196"/>
      <c r="F86" s="196"/>
      <c r="G86" s="196"/>
      <c r="H86" s="196"/>
    </row>
    <row r="87" spans="1:8" s="17" customFormat="1" x14ac:dyDescent="0.25">
      <c r="A87" s="206" t="s">
        <v>9</v>
      </c>
      <c r="B87" s="206" t="s">
        <v>80</v>
      </c>
      <c r="C87" s="205">
        <v>-9023291.9100000001</v>
      </c>
      <c r="D87" s="204">
        <f>C87+(C80-D80)</f>
        <v>-3834593.9099999992</v>
      </c>
      <c r="E87" s="204">
        <f>D87+(D80-E80)</f>
        <v>-673547.12000000011</v>
      </c>
      <c r="F87" s="204">
        <f>E87+(E80-F80)</f>
        <v>-673547.12000000011</v>
      </c>
      <c r="G87" s="204">
        <f>F87+(F80-G80)</f>
        <v>-673547.12000000011</v>
      </c>
      <c r="H87" s="204">
        <f>G87+(G80-H80)</f>
        <v>-673547.12000000011</v>
      </c>
    </row>
    <row r="88" spans="1:8" s="364" customFormat="1" ht="11.25" x14ac:dyDescent="0.2">
      <c r="A88" s="367" t="s">
        <v>88</v>
      </c>
      <c r="B88" s="367" t="s">
        <v>189</v>
      </c>
      <c r="C88" s="366"/>
      <c r="D88" s="365"/>
      <c r="E88" s="365"/>
      <c r="F88" s="365"/>
      <c r="G88" s="365"/>
      <c r="H88" s="365"/>
    </row>
    <row r="89" spans="1:8" s="364" customFormat="1" ht="11.25" x14ac:dyDescent="0.2">
      <c r="A89" s="367" t="s">
        <v>88</v>
      </c>
      <c r="B89" s="367" t="s">
        <v>188</v>
      </c>
      <c r="C89" s="366"/>
      <c r="D89" s="365"/>
      <c r="E89" s="365"/>
      <c r="F89" s="365"/>
      <c r="G89" s="365"/>
      <c r="H89" s="365"/>
    </row>
    <row r="90" spans="1:8" s="364" customFormat="1" ht="11.25" x14ac:dyDescent="0.2">
      <c r="A90" s="367" t="s">
        <v>89</v>
      </c>
      <c r="B90" s="367" t="s">
        <v>187</v>
      </c>
      <c r="C90" s="366"/>
      <c r="D90" s="365"/>
      <c r="E90" s="365"/>
      <c r="F90" s="365"/>
      <c r="G90" s="365"/>
      <c r="H90" s="365"/>
    </row>
    <row r="91" spans="1:8" s="364" customFormat="1" ht="11.25" x14ac:dyDescent="0.2">
      <c r="A91" s="367" t="s">
        <v>90</v>
      </c>
      <c r="B91" s="367" t="s">
        <v>186</v>
      </c>
      <c r="C91" s="366"/>
      <c r="D91" s="365"/>
      <c r="E91" s="365"/>
      <c r="F91" s="365"/>
      <c r="G91" s="365"/>
      <c r="H91" s="365"/>
    </row>
    <row r="92" spans="1:8" s="364" customFormat="1" ht="11.25" x14ac:dyDescent="0.2">
      <c r="A92" s="367" t="s">
        <v>79</v>
      </c>
      <c r="B92" s="367" t="s">
        <v>185</v>
      </c>
      <c r="C92" s="366"/>
      <c r="D92" s="365"/>
      <c r="E92" s="365"/>
      <c r="F92" s="365"/>
      <c r="G92" s="365"/>
      <c r="H92" s="365"/>
    </row>
    <row r="93" spans="1:8" s="364" customFormat="1" ht="11.25" x14ac:dyDescent="0.2">
      <c r="A93" s="367" t="s">
        <v>91</v>
      </c>
      <c r="B93" s="367" t="s">
        <v>184</v>
      </c>
      <c r="C93" s="366"/>
      <c r="D93" s="365"/>
      <c r="E93" s="365"/>
      <c r="F93" s="365"/>
      <c r="G93" s="365"/>
      <c r="H93" s="365"/>
    </row>
    <row r="94" spans="1:8" s="364" customFormat="1" ht="11.25" x14ac:dyDescent="0.2">
      <c r="A94" s="367" t="s">
        <v>92</v>
      </c>
      <c r="B94" s="367" t="s">
        <v>183</v>
      </c>
      <c r="C94" s="366"/>
      <c r="D94" s="365"/>
      <c r="E94" s="365"/>
      <c r="F94" s="365"/>
      <c r="G94" s="365"/>
      <c r="H94" s="365"/>
    </row>
    <row r="95" spans="1:8" x14ac:dyDescent="0.25">
      <c r="A95" s="198" t="s">
        <v>10</v>
      </c>
      <c r="B95" s="198"/>
      <c r="C95" s="196">
        <f>SUM(C87:C94)</f>
        <v>-9023291.9100000001</v>
      </c>
      <c r="D95" s="196">
        <f>SUM(D87:D94)</f>
        <v>-3834593.9099999992</v>
      </c>
      <c r="E95" s="196">
        <f>SUM(E87:E94)</f>
        <v>-673547.12000000011</v>
      </c>
      <c r="F95" s="196">
        <f>SUM(F87:F94)</f>
        <v>-673547.12000000011</v>
      </c>
      <c r="G95" s="196">
        <f>SUM(G87:G94)</f>
        <v>-673547.12000000011</v>
      </c>
      <c r="H95" s="196">
        <f>SUM(H87:H94)</f>
        <v>-673547.12000000011</v>
      </c>
    </row>
    <row r="96" spans="1:8" x14ac:dyDescent="0.25">
      <c r="A96" s="198"/>
      <c r="B96" s="198"/>
      <c r="C96" s="197"/>
      <c r="D96" s="196"/>
      <c r="E96" s="196"/>
      <c r="F96" s="196"/>
      <c r="G96" s="196"/>
      <c r="H96" s="196"/>
    </row>
    <row r="97" spans="1:8" s="17" customFormat="1" x14ac:dyDescent="0.25">
      <c r="A97" s="200" t="s">
        <v>121</v>
      </c>
      <c r="B97" s="200" t="s">
        <v>126</v>
      </c>
      <c r="C97" s="199">
        <v>9459288.1899999995</v>
      </c>
      <c r="D97" s="201">
        <f>+C97-(C80-D80)</f>
        <v>4270590.1899999985</v>
      </c>
      <c r="E97" s="201">
        <f>+D97-(D80-E80)</f>
        <v>1109543.3999999994</v>
      </c>
      <c r="F97" s="201">
        <f>+E97-(E80-F80)</f>
        <v>1109543.3999999994</v>
      </c>
      <c r="G97" s="201">
        <f>+F97-(F80-G80)</f>
        <v>1109543.3999999994</v>
      </c>
      <c r="H97" s="201">
        <f>+G97-(G80-H80)</f>
        <v>1109543.3999999994</v>
      </c>
    </row>
    <row r="98" spans="1:8" s="17" customFormat="1" x14ac:dyDescent="0.25">
      <c r="A98" s="200" t="s">
        <v>122</v>
      </c>
      <c r="B98" s="200" t="s">
        <v>127</v>
      </c>
      <c r="C98" s="199">
        <v>11415005.01</v>
      </c>
      <c r="D98" s="201">
        <f>+C98-D49</f>
        <v>18603703.009999998</v>
      </c>
      <c r="E98" s="201">
        <f>+D98-E49</f>
        <v>24788044.009999998</v>
      </c>
      <c r="F98" s="201">
        <f>+E98-F49</f>
        <v>25376454.009999998</v>
      </c>
      <c r="G98" s="201">
        <f>+F98-G49</f>
        <v>28213218.009999998</v>
      </c>
      <c r="H98" s="201">
        <f>+G98-H49</f>
        <v>31049982.009999998</v>
      </c>
    </row>
    <row r="99" spans="1:8" s="17" customFormat="1" x14ac:dyDescent="0.25">
      <c r="A99" s="200" t="s">
        <v>131</v>
      </c>
      <c r="B99" s="200"/>
      <c r="C99" s="199">
        <v>10773977.68</v>
      </c>
      <c r="D99" s="201">
        <f>+C99+D46+D51</f>
        <v>11903031.792273669</v>
      </c>
      <c r="E99" s="201">
        <f>+D99+E46+E51</f>
        <v>12862644.752450604</v>
      </c>
      <c r="F99" s="201">
        <f>+E99+F46+F51</f>
        <v>12263129.330592701</v>
      </c>
      <c r="G99" s="201">
        <f>+F99+G46+G51</f>
        <v>13779200.609887933</v>
      </c>
      <c r="H99" s="201">
        <f>+G99+H46+H51</f>
        <v>15162504.056852696</v>
      </c>
    </row>
    <row r="100" spans="1:8" s="17" customFormat="1" x14ac:dyDescent="0.25">
      <c r="A100" s="200" t="s">
        <v>123</v>
      </c>
      <c r="B100" s="200" t="s">
        <v>128</v>
      </c>
      <c r="C100" s="199">
        <f>C97+C98</f>
        <v>20874293.199999999</v>
      </c>
      <c r="D100" s="199">
        <f>D97+D98</f>
        <v>22874293.199999996</v>
      </c>
      <c r="E100" s="199">
        <f>E97+E98</f>
        <v>25897587.409999996</v>
      </c>
      <c r="F100" s="199">
        <f>F97+F98</f>
        <v>26485997.409999996</v>
      </c>
      <c r="G100" s="199">
        <f>G97+G98</f>
        <v>29322761.409999996</v>
      </c>
      <c r="H100" s="199">
        <f>H97+H98</f>
        <v>32159525.409999996</v>
      </c>
    </row>
    <row r="101" spans="1:8" x14ac:dyDescent="0.25">
      <c r="A101" s="198"/>
      <c r="B101" s="198"/>
      <c r="C101" s="197"/>
      <c r="D101" s="196"/>
      <c r="E101" s="196"/>
      <c r="F101" s="196"/>
      <c r="G101" s="196"/>
      <c r="H101" s="196"/>
    </row>
    <row r="102" spans="1:8" x14ac:dyDescent="0.25">
      <c r="A102" s="195" t="s">
        <v>11</v>
      </c>
      <c r="B102" s="195"/>
      <c r="C102" s="194">
        <f>C82+C95</f>
        <v>-673547.12000000011</v>
      </c>
      <c r="D102" s="194">
        <f>D82+D95</f>
        <v>-673547.12000000011</v>
      </c>
      <c r="E102" s="194">
        <f>E82+E95</f>
        <v>-673547.12000000011</v>
      </c>
      <c r="F102" s="194">
        <f>F82+F95</f>
        <v>-673547.12000000011</v>
      </c>
      <c r="G102" s="194">
        <f>G82+G95</f>
        <v>-673547.12000000011</v>
      </c>
      <c r="H102" s="194">
        <f>H82+H95</f>
        <v>-673547.12000000011</v>
      </c>
    </row>
    <row r="103" spans="1:8" x14ac:dyDescent="0.25">
      <c r="A103" s="193" t="s">
        <v>3</v>
      </c>
      <c r="B103" s="193"/>
      <c r="C103" s="192">
        <f>C102/C16</f>
        <v>-7.4466820426926483E-2</v>
      </c>
      <c r="D103" s="192">
        <f>D102/D16</f>
        <v>-7.8583767059810475E-2</v>
      </c>
      <c r="E103" s="192">
        <f>E102/E16</f>
        <v>-7.0040512092077414E-2</v>
      </c>
      <c r="F103" s="192">
        <f>F102/F16</f>
        <v>-6.2630723227451404E-2</v>
      </c>
      <c r="G103" s="192">
        <f>G102/G16</f>
        <v>-5.6118304949298418E-2</v>
      </c>
      <c r="H103" s="192">
        <f>H102/H16</f>
        <v>-5.0163505899828237E-2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 t="s">
        <v>327</v>
      </c>
    </row>
    <row r="124" spans="1:8" x14ac:dyDescent="0.25">
      <c r="B124" s="32" t="s">
        <v>326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ColWidth="8.85546875"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8.85546875" style="32"/>
  </cols>
  <sheetData>
    <row r="1" spans="1:8" ht="30" x14ac:dyDescent="0.25">
      <c r="A1" s="34" t="s">
        <v>159</v>
      </c>
      <c r="B1" s="31" t="s">
        <v>331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217" t="s">
        <v>157</v>
      </c>
      <c r="B4" s="217" t="s">
        <v>12</v>
      </c>
      <c r="C4" s="215">
        <v>2015</v>
      </c>
      <c r="D4" s="217">
        <v>2016</v>
      </c>
      <c r="E4" s="217">
        <v>2017</v>
      </c>
      <c r="F4" s="217">
        <v>2018</v>
      </c>
      <c r="G4" s="217">
        <v>2019</v>
      </c>
      <c r="H4" s="217">
        <v>2020</v>
      </c>
    </row>
    <row r="5" spans="1:8" x14ac:dyDescent="0.25">
      <c r="A5" s="215"/>
      <c r="B5" s="215"/>
      <c r="C5" s="214"/>
      <c r="D5" s="196"/>
      <c r="E5" s="196"/>
      <c r="F5" s="196"/>
      <c r="G5" s="196"/>
      <c r="H5" s="196"/>
    </row>
    <row r="6" spans="1:8" x14ac:dyDescent="0.25">
      <c r="A6" s="387" t="s">
        <v>49</v>
      </c>
      <c r="B6" s="392"/>
      <c r="C6" s="391"/>
      <c r="D6" s="390"/>
      <c r="E6" s="390"/>
      <c r="F6" s="390"/>
      <c r="G6" s="390"/>
      <c r="H6" s="390"/>
    </row>
    <row r="7" spans="1:8" x14ac:dyDescent="0.25">
      <c r="A7" s="203" t="s">
        <v>13</v>
      </c>
      <c r="B7" s="203" t="s">
        <v>25</v>
      </c>
      <c r="C7" s="197">
        <v>0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</row>
    <row r="8" spans="1:8" x14ac:dyDescent="0.25">
      <c r="A8" s="203" t="s">
        <v>26</v>
      </c>
      <c r="B8" s="203" t="s">
        <v>27</v>
      </c>
      <c r="C8" s="197">
        <v>1236900</v>
      </c>
      <c r="D8" s="196">
        <f>1261127+12000</f>
        <v>1273127</v>
      </c>
      <c r="E8" s="196">
        <v>1323000</v>
      </c>
      <c r="F8" s="196">
        <v>1423000</v>
      </c>
      <c r="G8" s="196">
        <v>1523000</v>
      </c>
      <c r="H8" s="196">
        <v>1523000</v>
      </c>
    </row>
    <row r="9" spans="1:8" x14ac:dyDescent="0.25">
      <c r="A9" s="203" t="s">
        <v>28</v>
      </c>
      <c r="B9" s="203" t="s">
        <v>14</v>
      </c>
      <c r="C9" s="197">
        <v>0</v>
      </c>
      <c r="D9" s="196"/>
      <c r="E9" s="196"/>
      <c r="F9" s="196"/>
      <c r="G9" s="196"/>
      <c r="H9" s="196"/>
    </row>
    <row r="10" spans="1:8" s="161" customFormat="1" x14ac:dyDescent="0.25">
      <c r="A10" s="389" t="s">
        <v>15</v>
      </c>
      <c r="B10" s="389" t="s">
        <v>29</v>
      </c>
      <c r="C10" s="384">
        <v>925111.12</v>
      </c>
      <c r="D10" s="383">
        <f>813496+1131+13500+37760</f>
        <v>865887</v>
      </c>
      <c r="E10" s="383">
        <v>842000</v>
      </c>
      <c r="F10" s="383">
        <v>873000</v>
      </c>
      <c r="G10" s="383">
        <v>907000</v>
      </c>
      <c r="H10" s="383">
        <v>946000</v>
      </c>
    </row>
    <row r="11" spans="1:8" x14ac:dyDescent="0.25">
      <c r="A11" s="203" t="s">
        <v>16</v>
      </c>
      <c r="B11" s="203" t="s">
        <v>30</v>
      </c>
      <c r="C11" s="197">
        <v>0</v>
      </c>
      <c r="D11" s="197">
        <v>0</v>
      </c>
      <c r="E11" s="197">
        <v>0</v>
      </c>
      <c r="F11" s="197">
        <v>0</v>
      </c>
      <c r="G11" s="197">
        <v>0</v>
      </c>
      <c r="H11" s="197">
        <v>0</v>
      </c>
    </row>
    <row r="12" spans="1:8" x14ac:dyDescent="0.25">
      <c r="A12" s="203" t="s">
        <v>31</v>
      </c>
      <c r="B12" s="203" t="s">
        <v>32</v>
      </c>
      <c r="C12" s="197">
        <v>0</v>
      </c>
      <c r="D12" s="197">
        <v>0</v>
      </c>
      <c r="E12" s="197">
        <v>0</v>
      </c>
      <c r="F12" s="197">
        <v>0</v>
      </c>
      <c r="G12" s="197">
        <v>0</v>
      </c>
      <c r="H12" s="197">
        <v>0</v>
      </c>
    </row>
    <row r="13" spans="1:8" x14ac:dyDescent="0.25">
      <c r="A13" s="203" t="s">
        <v>17</v>
      </c>
      <c r="B13" s="203" t="s">
        <v>33</v>
      </c>
      <c r="C13" s="197">
        <v>46501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</row>
    <row r="14" spans="1:8" x14ac:dyDescent="0.25">
      <c r="A14" s="203" t="s">
        <v>18</v>
      </c>
      <c r="B14" s="203" t="s">
        <v>34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</row>
    <row r="15" spans="1:8" x14ac:dyDescent="0.25">
      <c r="A15" s="203" t="s">
        <v>35</v>
      </c>
      <c r="B15" s="203" t="s">
        <v>36</v>
      </c>
      <c r="C15" s="197">
        <v>21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</row>
    <row r="16" spans="1:8" s="38" customFormat="1" x14ac:dyDescent="0.25">
      <c r="A16" s="387" t="s">
        <v>0</v>
      </c>
      <c r="B16" s="387"/>
      <c r="C16" s="377">
        <f>SUM(C7:C15)</f>
        <v>2208533.12</v>
      </c>
      <c r="D16" s="377">
        <f>SUM(D7:D15)</f>
        <v>2139014</v>
      </c>
      <c r="E16" s="377">
        <f>SUM(E7:E15)</f>
        <v>2165000</v>
      </c>
      <c r="F16" s="377">
        <f>SUM(F7:F15)</f>
        <v>2296000</v>
      </c>
      <c r="G16" s="377">
        <f>SUM(G7:G15)</f>
        <v>2430000</v>
      </c>
      <c r="H16" s="377">
        <f>SUM(H7:H15)</f>
        <v>2469000</v>
      </c>
    </row>
    <row r="17" spans="1:8" x14ac:dyDescent="0.25">
      <c r="A17" s="203"/>
      <c r="B17" s="203"/>
      <c r="C17" s="196"/>
      <c r="D17" s="196"/>
      <c r="E17" s="196"/>
      <c r="F17" s="196"/>
      <c r="G17" s="196"/>
      <c r="H17" s="196"/>
    </row>
    <row r="18" spans="1:8" s="17" customFormat="1" x14ac:dyDescent="0.25">
      <c r="A18" s="207" t="s">
        <v>132</v>
      </c>
      <c r="B18" s="207"/>
      <c r="C18" s="201"/>
      <c r="D18" s="201"/>
      <c r="E18" s="201"/>
      <c r="F18" s="201"/>
      <c r="G18" s="201"/>
      <c r="H18" s="201"/>
    </row>
    <row r="19" spans="1:8" s="17" customFormat="1" x14ac:dyDescent="0.25">
      <c r="A19" s="207" t="s">
        <v>147</v>
      </c>
      <c r="B19" s="207" t="s">
        <v>115</v>
      </c>
      <c r="C19" s="201">
        <f>C8</f>
        <v>1236900</v>
      </c>
      <c r="D19" s="201">
        <v>1273127</v>
      </c>
      <c r="E19" s="201">
        <v>1323000</v>
      </c>
      <c r="F19" s="201">
        <v>1423000</v>
      </c>
      <c r="G19" s="201">
        <v>1523000</v>
      </c>
      <c r="H19" s="201">
        <v>1523000</v>
      </c>
    </row>
    <row r="20" spans="1:8" s="17" customFormat="1" x14ac:dyDescent="0.25">
      <c r="A20" s="207" t="s">
        <v>148</v>
      </c>
      <c r="B20" s="207" t="s">
        <v>117</v>
      </c>
      <c r="C20" s="201">
        <v>1899098.7</v>
      </c>
      <c r="D20" s="201">
        <f>922042+1786089+528880+1200000</f>
        <v>4437011</v>
      </c>
      <c r="E20" s="201">
        <f>E51+E10</f>
        <v>5421000</v>
      </c>
      <c r="F20" s="201">
        <f>F51+F10</f>
        <v>6959000</v>
      </c>
      <c r="G20" s="201">
        <f>G51+G10</f>
        <v>4624000</v>
      </c>
      <c r="H20" s="201">
        <f>H51+H10</f>
        <v>2732000</v>
      </c>
    </row>
    <row r="21" spans="1:8" s="17" customFormat="1" x14ac:dyDescent="0.25">
      <c r="A21" s="207" t="s">
        <v>114</v>
      </c>
      <c r="B21" s="207" t="s">
        <v>116</v>
      </c>
      <c r="C21" s="201">
        <v>3182520.51</v>
      </c>
      <c r="D21" s="201">
        <f>D19+D20</f>
        <v>5710138</v>
      </c>
      <c r="E21" s="201">
        <f>E19+E20</f>
        <v>6744000</v>
      </c>
      <c r="F21" s="201">
        <f>F19+F20</f>
        <v>8382000</v>
      </c>
      <c r="G21" s="201">
        <f>G19+G20</f>
        <v>6147000</v>
      </c>
      <c r="H21" s="201">
        <f>H19+H20</f>
        <v>4255000</v>
      </c>
    </row>
    <row r="22" spans="1:8" x14ac:dyDescent="0.25">
      <c r="A22" s="203"/>
      <c r="B22" s="203"/>
      <c r="C22" s="197"/>
      <c r="D22" s="196"/>
      <c r="E22" s="196"/>
      <c r="F22" s="196"/>
      <c r="G22" s="196"/>
      <c r="H22" s="196"/>
    </row>
    <row r="23" spans="1:8" x14ac:dyDescent="0.25">
      <c r="A23" s="202" t="s">
        <v>149</v>
      </c>
      <c r="B23" s="203"/>
      <c r="C23" s="197"/>
      <c r="D23" s="196"/>
      <c r="E23" s="196"/>
      <c r="F23" s="196"/>
      <c r="G23" s="196"/>
      <c r="H23" s="196"/>
    </row>
    <row r="24" spans="1:8" x14ac:dyDescent="0.25">
      <c r="A24" s="203" t="s">
        <v>19</v>
      </c>
      <c r="B24" s="203" t="s">
        <v>37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97">
        <v>0</v>
      </c>
    </row>
    <row r="25" spans="1:8" x14ac:dyDescent="0.25">
      <c r="A25" s="203" t="s">
        <v>23</v>
      </c>
      <c r="B25" s="203" t="s">
        <v>24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</row>
    <row r="26" spans="1:8" x14ac:dyDescent="0.25">
      <c r="A26" s="203" t="s">
        <v>20</v>
      </c>
      <c r="B26" s="203" t="s">
        <v>38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</row>
    <row r="27" spans="1:8" x14ac:dyDescent="0.25">
      <c r="A27" s="203" t="s">
        <v>21</v>
      </c>
      <c r="B27" s="203" t="s">
        <v>39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</row>
    <row r="28" spans="1:8" x14ac:dyDescent="0.25">
      <c r="A28" s="203" t="s">
        <v>22</v>
      </c>
      <c r="B28" s="203" t="s">
        <v>40</v>
      </c>
      <c r="C28" s="197">
        <v>-2120094</v>
      </c>
      <c r="D28" s="196">
        <v>-2104269</v>
      </c>
      <c r="E28" s="196">
        <v>-2160002</v>
      </c>
      <c r="F28" s="196">
        <v>-2291002</v>
      </c>
      <c r="G28" s="196">
        <v>-2425481</v>
      </c>
      <c r="H28" s="196">
        <v>-2464747</v>
      </c>
    </row>
    <row r="29" spans="1:8" x14ac:dyDescent="0.25">
      <c r="A29" s="202" t="s">
        <v>155</v>
      </c>
      <c r="B29" s="202" t="s">
        <v>156</v>
      </c>
      <c r="C29" s="197">
        <f>-(799013.08+259702.79+2746.39)</f>
        <v>-1061462.2599999998</v>
      </c>
      <c r="D29" s="196">
        <v>-1125948</v>
      </c>
      <c r="E29" s="196">
        <f>D29*1.05</f>
        <v>-1182245.4000000001</v>
      </c>
      <c r="F29" s="196">
        <f>E29</f>
        <v>-1182245.4000000001</v>
      </c>
      <c r="G29" s="196">
        <f>F29*1.05</f>
        <v>-1241357.6700000002</v>
      </c>
      <c r="H29" s="196">
        <f>G29</f>
        <v>-1241357.6700000002</v>
      </c>
    </row>
    <row r="30" spans="1:8" x14ac:dyDescent="0.25">
      <c r="A30" s="203" t="s">
        <v>41</v>
      </c>
      <c r="B30" s="203" t="s">
        <v>42</v>
      </c>
      <c r="C30" s="197">
        <f>-(116.34+3.67+352+1523.8+14.69)</f>
        <v>-2010.5</v>
      </c>
      <c r="D30" s="196">
        <v>-2352</v>
      </c>
      <c r="E30" s="196">
        <v>-2500</v>
      </c>
      <c r="F30" s="196">
        <v>-3000</v>
      </c>
      <c r="G30" s="196">
        <v>-3000</v>
      </c>
      <c r="H30" s="196">
        <v>-3000</v>
      </c>
    </row>
    <row r="31" spans="1:8" x14ac:dyDescent="0.25">
      <c r="A31" s="203" t="s">
        <v>43</v>
      </c>
      <c r="B31" s="203" t="s">
        <v>44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</row>
    <row r="32" spans="1:8" x14ac:dyDescent="0.25">
      <c r="A32" s="203" t="s">
        <v>45</v>
      </c>
      <c r="B32" s="203" t="s">
        <v>46</v>
      </c>
      <c r="C32" s="197">
        <f>-306.73</f>
        <v>-306.73</v>
      </c>
      <c r="D32" s="197">
        <v>0</v>
      </c>
      <c r="E32" s="197">
        <v>0</v>
      </c>
      <c r="F32" s="197">
        <v>0</v>
      </c>
      <c r="G32" s="197">
        <v>0</v>
      </c>
      <c r="H32" s="197">
        <v>0</v>
      </c>
    </row>
    <row r="33" spans="1:8" x14ac:dyDescent="0.25">
      <c r="A33" s="203" t="s">
        <v>47</v>
      </c>
      <c r="B33" s="203" t="s">
        <v>48</v>
      </c>
      <c r="C33" s="197">
        <f>-(55.09+64.35)</f>
        <v>-119.44</v>
      </c>
      <c r="D33" s="197">
        <v>0</v>
      </c>
      <c r="E33" s="197">
        <v>0</v>
      </c>
      <c r="F33" s="197">
        <v>0</v>
      </c>
      <c r="G33" s="197">
        <v>0</v>
      </c>
      <c r="H33" s="197">
        <v>0</v>
      </c>
    </row>
    <row r="34" spans="1:8" x14ac:dyDescent="0.25">
      <c r="A34" s="198" t="s">
        <v>1</v>
      </c>
      <c r="B34" s="198"/>
      <c r="C34" s="196">
        <f>SUM(C24:C28)+SUM(C30:C33)</f>
        <v>-2122530.67</v>
      </c>
      <c r="D34" s="196">
        <f>SUM(D24:D28)+SUM(D30:D33)</f>
        <v>-2106621</v>
      </c>
      <c r="E34" s="196">
        <f>SUM(E24:E28)+SUM(E30:E33)</f>
        <v>-2162502</v>
      </c>
      <c r="F34" s="196">
        <f>SUM(F24:F28)+SUM(F30:F33)</f>
        <v>-2294002</v>
      </c>
      <c r="G34" s="196">
        <f>SUM(G24:G28)+SUM(G30:G33)</f>
        <v>-2428481</v>
      </c>
      <c r="H34" s="196">
        <f>SUM(H24:H28)+SUM(H30:H33)</f>
        <v>-2467747</v>
      </c>
    </row>
    <row r="35" spans="1:8" x14ac:dyDescent="0.25">
      <c r="A35" s="198"/>
      <c r="B35" s="198"/>
      <c r="C35" s="196"/>
      <c r="D35" s="196"/>
      <c r="E35" s="196"/>
      <c r="F35" s="196"/>
      <c r="G35" s="196"/>
      <c r="H35" s="196"/>
    </row>
    <row r="36" spans="1:8" s="17" customFormat="1" x14ac:dyDescent="0.25">
      <c r="A36" s="200" t="s">
        <v>150</v>
      </c>
      <c r="B36" s="200"/>
      <c r="C36" s="201"/>
      <c r="D36" s="201"/>
      <c r="E36" s="201"/>
      <c r="F36" s="201"/>
      <c r="G36" s="201"/>
      <c r="H36" s="201"/>
    </row>
    <row r="37" spans="1:8" s="17" customFormat="1" x14ac:dyDescent="0.25">
      <c r="A37" s="200" t="s">
        <v>119</v>
      </c>
      <c r="B37" s="200" t="s">
        <v>118</v>
      </c>
      <c r="C37" s="201">
        <v>0</v>
      </c>
      <c r="D37" s="201">
        <v>0</v>
      </c>
      <c r="E37" s="201">
        <v>0</v>
      </c>
      <c r="F37" s="201">
        <v>0</v>
      </c>
      <c r="G37" s="201">
        <v>0</v>
      </c>
      <c r="H37" s="201">
        <v>0</v>
      </c>
    </row>
    <row r="38" spans="1:8" s="17" customFormat="1" x14ac:dyDescent="0.25">
      <c r="A38" s="200" t="s">
        <v>133</v>
      </c>
      <c r="B38" s="200" t="s">
        <v>134</v>
      </c>
      <c r="C38" s="201">
        <v>-2120094</v>
      </c>
      <c r="D38" s="201">
        <v>-2104269</v>
      </c>
      <c r="E38" s="201">
        <f>E28</f>
        <v>-2160002</v>
      </c>
      <c r="F38" s="201">
        <f>F28</f>
        <v>-2291002</v>
      </c>
      <c r="G38" s="201">
        <f>G28</f>
        <v>-2425481</v>
      </c>
      <c r="H38" s="201">
        <f>H28</f>
        <v>-2464747</v>
      </c>
    </row>
    <row r="39" spans="1:8" s="17" customFormat="1" x14ac:dyDescent="0.25">
      <c r="A39" s="200" t="s">
        <v>136</v>
      </c>
      <c r="B39" s="200" t="s">
        <v>135</v>
      </c>
      <c r="C39" s="201">
        <v>-1617790</v>
      </c>
      <c r="D39" s="201">
        <f>D40+D60+D30</f>
        <v>-1652711.61</v>
      </c>
      <c r="E39" s="201">
        <f>E40+E60+E30</f>
        <v>-1762446.0504999999</v>
      </c>
      <c r="F39" s="201">
        <f>F40+F60+F30</f>
        <v>-3657264.1609999998</v>
      </c>
      <c r="G39" s="201">
        <f>G40+G60+G30</f>
        <v>-3839364.4610000001</v>
      </c>
      <c r="H39" s="201">
        <f>H40+H60+H30</f>
        <v>-3950609.0209999997</v>
      </c>
    </row>
    <row r="40" spans="1:8" s="17" customFormat="1" x14ac:dyDescent="0.25">
      <c r="A40" s="200" t="s">
        <v>138</v>
      </c>
      <c r="B40" s="200" t="s">
        <v>120</v>
      </c>
      <c r="C40" s="199">
        <v>-1617746</v>
      </c>
      <c r="D40" s="201">
        <f>C40+(C49*3%)</f>
        <v>-1646965.61</v>
      </c>
      <c r="E40" s="201">
        <f>D40+(D49*3%)</f>
        <v>-1757447.8805</v>
      </c>
      <c r="F40" s="201">
        <f>E40+(E40+E49*3%)</f>
        <v>-3652265.7609999999</v>
      </c>
      <c r="G40" s="201">
        <f>F40+(F49*3%)</f>
        <v>-3834845.7609999999</v>
      </c>
      <c r="H40" s="201">
        <f>G40+(G49*3%)</f>
        <v>-3946355.7609999999</v>
      </c>
    </row>
    <row r="41" spans="1:8" s="17" customFormat="1" x14ac:dyDescent="0.25">
      <c r="A41" s="200" t="s">
        <v>113</v>
      </c>
      <c r="B41" s="200" t="s">
        <v>137</v>
      </c>
      <c r="C41" s="201">
        <f>SUM(C37:C39)</f>
        <v>-3737884</v>
      </c>
      <c r="D41" s="201">
        <f>SUM(D37:D39)</f>
        <v>-3756980.6100000003</v>
      </c>
      <c r="E41" s="201">
        <f>SUM(E37:E39)</f>
        <v>-3922448.0504999999</v>
      </c>
      <c r="F41" s="201">
        <f>SUM(F37:F39)</f>
        <v>-5948266.1610000003</v>
      </c>
      <c r="G41" s="201">
        <f>SUM(G37:G39)</f>
        <v>-6264845.4610000001</v>
      </c>
      <c r="H41" s="201">
        <f>SUM(H37:H39)</f>
        <v>-6415356.0209999997</v>
      </c>
    </row>
    <row r="42" spans="1:8" x14ac:dyDescent="0.25">
      <c r="A42" s="198"/>
      <c r="B42" s="198"/>
      <c r="C42" s="197"/>
      <c r="D42" s="196"/>
      <c r="E42" s="196"/>
      <c r="F42" s="196"/>
      <c r="G42" s="196"/>
      <c r="H42" s="196"/>
    </row>
    <row r="43" spans="1:8" x14ac:dyDescent="0.25">
      <c r="A43" s="195" t="s">
        <v>2</v>
      </c>
      <c r="B43" s="195"/>
      <c r="C43" s="194">
        <f>C16+C34</f>
        <v>86002.450000000186</v>
      </c>
      <c r="D43" s="194">
        <f>D16+D34</f>
        <v>32393</v>
      </c>
      <c r="E43" s="194">
        <f>E16+E34</f>
        <v>2498</v>
      </c>
      <c r="F43" s="194">
        <f>F16+F34</f>
        <v>1998</v>
      </c>
      <c r="G43" s="194">
        <f>G16+G34</f>
        <v>1519</v>
      </c>
      <c r="H43" s="194">
        <f>H16+H34</f>
        <v>1253</v>
      </c>
    </row>
    <row r="44" spans="1:8" x14ac:dyDescent="0.25">
      <c r="A44" s="193" t="s">
        <v>3</v>
      </c>
      <c r="B44" s="193"/>
      <c r="C44" s="388">
        <f>C43/C16</f>
        <v>3.8940982691715385E-2</v>
      </c>
      <c r="D44" s="388">
        <f>D43/D16</f>
        <v>1.5143893401352212E-2</v>
      </c>
      <c r="E44" s="388">
        <f>E43/E16</f>
        <v>1.1538106235565819E-3</v>
      </c>
      <c r="F44" s="388">
        <f>F43/F16</f>
        <v>8.7020905923344946E-4</v>
      </c>
      <c r="G44" s="388">
        <f>G43/G16</f>
        <v>6.2510288065843625E-4</v>
      </c>
      <c r="H44" s="388">
        <f>H43/H16</f>
        <v>5.0749291211016605E-4</v>
      </c>
    </row>
    <row r="45" spans="1:8" x14ac:dyDescent="0.25">
      <c r="A45" s="193"/>
      <c r="B45" s="193"/>
      <c r="C45" s="211"/>
      <c r="D45" s="211"/>
      <c r="E45" s="211"/>
      <c r="F45" s="211"/>
      <c r="G45" s="211"/>
      <c r="H45" s="211"/>
    </row>
    <row r="46" spans="1:8" s="17" customFormat="1" x14ac:dyDescent="0.25">
      <c r="A46" s="213" t="s">
        <v>130</v>
      </c>
      <c r="B46" s="213" t="s">
        <v>141</v>
      </c>
      <c r="C46" s="212">
        <f>C21+C41</f>
        <v>-555363.49000000022</v>
      </c>
      <c r="D46" s="212">
        <f>D21+D41</f>
        <v>1953157.3899999997</v>
      </c>
      <c r="E46" s="212">
        <f>E21+E41</f>
        <v>2821551.9495000001</v>
      </c>
      <c r="F46" s="212">
        <f>F21+F41</f>
        <v>2433733.8389999997</v>
      </c>
      <c r="G46" s="212">
        <f>G21+G41</f>
        <v>-117845.46100000013</v>
      </c>
      <c r="H46" s="212">
        <f>H21+H41</f>
        <v>-2160356.0209999997</v>
      </c>
    </row>
    <row r="47" spans="1:8" x14ac:dyDescent="0.25">
      <c r="A47" s="193"/>
      <c r="B47" s="193"/>
      <c r="C47" s="211"/>
      <c r="D47" s="211"/>
      <c r="E47" s="211"/>
      <c r="F47" s="211"/>
      <c r="G47" s="211"/>
      <c r="H47" s="211"/>
    </row>
    <row r="48" spans="1:8" s="38" customFormat="1" x14ac:dyDescent="0.25">
      <c r="A48" s="387" t="s">
        <v>151</v>
      </c>
      <c r="B48" s="387"/>
      <c r="C48" s="378"/>
      <c r="D48" s="377"/>
      <c r="E48" s="377"/>
      <c r="F48" s="377"/>
      <c r="G48" s="377"/>
      <c r="H48" s="377"/>
    </row>
    <row r="49" spans="1:8" x14ac:dyDescent="0.25">
      <c r="A49" s="202" t="s">
        <v>107</v>
      </c>
      <c r="B49" s="198"/>
      <c r="C49" s="197">
        <v>-973987</v>
      </c>
      <c r="D49" s="196">
        <f>- (1786089+528880+86674.4+5250+16434.87+18637.53+16110.03+24666.52+1200000)</f>
        <v>-3682742.3499999996</v>
      </c>
      <c r="E49" s="196">
        <v>-4579000</v>
      </c>
      <c r="F49" s="196">
        <v>-6086000</v>
      </c>
      <c r="G49" s="196">
        <v>-3717000</v>
      </c>
      <c r="H49" s="196">
        <v>-1786000</v>
      </c>
    </row>
    <row r="50" spans="1:8" x14ac:dyDescent="0.25">
      <c r="A50" s="202" t="s">
        <v>142</v>
      </c>
      <c r="B50" s="198"/>
      <c r="C50" s="197">
        <f>49000-2499.05</f>
        <v>46500.95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</row>
    <row r="51" spans="1:8" s="161" customFormat="1" x14ac:dyDescent="0.25">
      <c r="A51" s="386" t="s">
        <v>4</v>
      </c>
      <c r="B51" s="385"/>
      <c r="C51" s="384">
        <v>973987.58</v>
      </c>
      <c r="D51" s="383">
        <f>1786089+528880+1200000</f>
        <v>3514969</v>
      </c>
      <c r="E51" s="383">
        <v>4579000</v>
      </c>
      <c r="F51" s="383">
        <v>6086000</v>
      </c>
      <c r="G51" s="383">
        <v>3717000</v>
      </c>
      <c r="H51" s="383">
        <v>1786000</v>
      </c>
    </row>
    <row r="52" spans="1:8" x14ac:dyDescent="0.25">
      <c r="A52" s="202" t="s">
        <v>5</v>
      </c>
      <c r="B52" s="198"/>
      <c r="C52" s="197">
        <v>0</v>
      </c>
      <c r="D52" s="196"/>
      <c r="E52" s="196"/>
      <c r="F52" s="196"/>
      <c r="G52" s="196"/>
      <c r="H52" s="196"/>
    </row>
    <row r="53" spans="1:8" x14ac:dyDescent="0.25">
      <c r="A53" s="202" t="s">
        <v>143</v>
      </c>
      <c r="B53" s="198"/>
      <c r="C53" s="197">
        <v>0</v>
      </c>
      <c r="D53" s="196"/>
      <c r="E53" s="196"/>
      <c r="F53" s="196"/>
      <c r="G53" s="196"/>
      <c r="H53" s="196"/>
    </row>
    <row r="54" spans="1:8" x14ac:dyDescent="0.25">
      <c r="A54" s="202" t="s">
        <v>108</v>
      </c>
      <c r="B54" s="198"/>
      <c r="C54" s="197">
        <v>0</v>
      </c>
      <c r="D54" s="196"/>
      <c r="E54" s="196"/>
      <c r="F54" s="196"/>
      <c r="G54" s="196"/>
      <c r="H54" s="196"/>
    </row>
    <row r="55" spans="1:8" x14ac:dyDescent="0.25">
      <c r="A55" s="202" t="s">
        <v>144</v>
      </c>
      <c r="B55" s="198"/>
      <c r="C55" s="197">
        <v>0</v>
      </c>
      <c r="D55" s="196"/>
      <c r="E55" s="196"/>
      <c r="F55" s="196"/>
      <c r="G55" s="196"/>
      <c r="H55" s="196"/>
    </row>
    <row r="56" spans="1:8" x14ac:dyDescent="0.25">
      <c r="A56" s="202" t="s">
        <v>109</v>
      </c>
      <c r="B56" s="198"/>
      <c r="C56" s="197">
        <v>0</v>
      </c>
      <c r="D56" s="196"/>
      <c r="E56" s="196"/>
      <c r="F56" s="196"/>
      <c r="G56" s="196"/>
      <c r="H56" s="196"/>
    </row>
    <row r="57" spans="1:8" x14ac:dyDescent="0.25">
      <c r="A57" s="202" t="s">
        <v>145</v>
      </c>
      <c r="B57" s="198"/>
      <c r="C57" s="197">
        <v>0</v>
      </c>
      <c r="D57" s="196"/>
      <c r="E57" s="196"/>
      <c r="F57" s="196"/>
      <c r="G57" s="196"/>
      <c r="H57" s="196"/>
    </row>
    <row r="58" spans="1:8" x14ac:dyDescent="0.25">
      <c r="A58" s="202" t="s">
        <v>110</v>
      </c>
      <c r="B58" s="198"/>
      <c r="C58" s="197">
        <v>0</v>
      </c>
      <c r="D58" s="196"/>
      <c r="E58" s="196"/>
      <c r="F58" s="196"/>
      <c r="G58" s="196"/>
      <c r="H58" s="196"/>
    </row>
    <row r="59" spans="1:8" x14ac:dyDescent="0.25">
      <c r="A59" s="202" t="s">
        <v>146</v>
      </c>
      <c r="B59" s="198"/>
      <c r="C59" s="197">
        <v>0</v>
      </c>
      <c r="D59" s="196"/>
      <c r="E59" s="196"/>
      <c r="F59" s="196"/>
      <c r="G59" s="196"/>
      <c r="H59" s="196"/>
    </row>
    <row r="60" spans="1:8" x14ac:dyDescent="0.25">
      <c r="A60" s="202" t="s">
        <v>111</v>
      </c>
      <c r="B60" s="198"/>
      <c r="C60" s="197">
        <f>1156.77-3764.21</f>
        <v>-2607.44</v>
      </c>
      <c r="D60" s="196">
        <v>-3394</v>
      </c>
      <c r="E60" s="196">
        <f>-(1998.17+1000-500)</f>
        <v>-2498.17</v>
      </c>
      <c r="F60" s="196">
        <f>-(1498.4+1000-500)</f>
        <v>-1998.4</v>
      </c>
      <c r="G60" s="196">
        <f>-(1018.7+1000-500)</f>
        <v>-1518.7</v>
      </c>
      <c r="H60" s="196">
        <f>-(753.26+1000-500)</f>
        <v>-1253.26</v>
      </c>
    </row>
    <row r="61" spans="1:8" x14ac:dyDescent="0.25">
      <c r="A61" s="202" t="s">
        <v>112</v>
      </c>
      <c r="B61" s="198"/>
      <c r="C61" s="197">
        <v>0</v>
      </c>
      <c r="D61" s="196"/>
      <c r="E61" s="196"/>
      <c r="F61" s="196"/>
      <c r="G61" s="196"/>
      <c r="H61" s="196"/>
    </row>
    <row r="62" spans="1:8" s="109" customFormat="1" x14ac:dyDescent="0.25">
      <c r="A62" s="382" t="s">
        <v>6</v>
      </c>
      <c r="B62" s="382"/>
      <c r="C62" s="381">
        <f>SUM(C49:C61)</f>
        <v>43894.089999999909</v>
      </c>
      <c r="D62" s="381">
        <f>SUM(D49:D61)</f>
        <v>-171167.34999999963</v>
      </c>
      <c r="E62" s="381">
        <f>SUM(E49:E61)</f>
        <v>-2498.17</v>
      </c>
      <c r="F62" s="381">
        <f>SUM(F49:F61)</f>
        <v>-1998.4</v>
      </c>
      <c r="G62" s="381">
        <f>SUM(G49:G61)</f>
        <v>-1518.7</v>
      </c>
      <c r="H62" s="381">
        <f>SUM(H49:H61)</f>
        <v>-1253.26</v>
      </c>
    </row>
    <row r="63" spans="1:8" s="17" customFormat="1" x14ac:dyDescent="0.25">
      <c r="A63" s="210"/>
      <c r="B63" s="210"/>
      <c r="C63" s="205"/>
      <c r="D63" s="204"/>
      <c r="E63" s="204"/>
      <c r="F63" s="204"/>
      <c r="G63" s="204"/>
      <c r="H63" s="204"/>
    </row>
    <row r="64" spans="1:8" s="17" customFormat="1" x14ac:dyDescent="0.25">
      <c r="A64" s="195" t="s">
        <v>7</v>
      </c>
      <c r="B64" s="195"/>
      <c r="C64" s="194">
        <f>C43+C62</f>
        <v>129896.5400000001</v>
      </c>
      <c r="D64" s="194">
        <f>D43+D62</f>
        <v>-138774.34999999963</v>
      </c>
      <c r="E64" s="194">
        <f>E43+E62</f>
        <v>-0.17000000000007276</v>
      </c>
      <c r="F64" s="194">
        <f>F43+F62</f>
        <v>-0.40000000000009095</v>
      </c>
      <c r="G64" s="194">
        <f>G43+G62</f>
        <v>0.29999999999995453</v>
      </c>
      <c r="H64" s="194">
        <f>H43+H62</f>
        <v>-0.25999999999999091</v>
      </c>
    </row>
    <row r="65" spans="1:8" s="17" customFormat="1" x14ac:dyDescent="0.25">
      <c r="A65" s="210"/>
      <c r="B65" s="210"/>
      <c r="C65" s="205"/>
      <c r="D65" s="204"/>
      <c r="E65" s="204"/>
      <c r="F65" s="204"/>
      <c r="G65" s="204"/>
      <c r="H65" s="204"/>
    </row>
    <row r="66" spans="1:8" s="17" customFormat="1" x14ac:dyDescent="0.25">
      <c r="A66" s="210" t="s">
        <v>93</v>
      </c>
      <c r="B66" s="210"/>
      <c r="C66" s="205"/>
      <c r="D66" s="204"/>
      <c r="E66" s="204"/>
      <c r="F66" s="204"/>
      <c r="G66" s="204"/>
      <c r="H66" s="204"/>
    </row>
    <row r="67" spans="1:8" s="17" customFormat="1" x14ac:dyDescent="0.25">
      <c r="A67" s="209" t="s">
        <v>59</v>
      </c>
      <c r="B67" s="209" t="s">
        <v>50</v>
      </c>
      <c r="C67" s="205">
        <v>67725</v>
      </c>
      <c r="D67" s="205">
        <v>82835</v>
      </c>
      <c r="E67" s="205">
        <v>28679</v>
      </c>
      <c r="F67" s="205">
        <v>24850</v>
      </c>
      <c r="G67" s="205">
        <v>23217</v>
      </c>
      <c r="H67" s="205">
        <v>23726</v>
      </c>
    </row>
    <row r="68" spans="1:8" s="17" customFormat="1" x14ac:dyDescent="0.25">
      <c r="A68" s="209" t="s">
        <v>60</v>
      </c>
      <c r="B68" s="206" t="s">
        <v>129</v>
      </c>
      <c r="C68" s="205">
        <v>10860</v>
      </c>
      <c r="D68" s="205">
        <v>100473</v>
      </c>
      <c r="E68" s="205">
        <v>71794</v>
      </c>
      <c r="F68" s="205">
        <v>46943</v>
      </c>
      <c r="G68" s="205">
        <v>23726</v>
      </c>
      <c r="H68" s="205">
        <v>0</v>
      </c>
    </row>
    <row r="69" spans="1:8" ht="60" x14ac:dyDescent="0.25">
      <c r="A69" s="203" t="s">
        <v>61</v>
      </c>
      <c r="B69" s="208" t="s">
        <v>51</v>
      </c>
      <c r="C69" s="197"/>
      <c r="D69" s="196"/>
      <c r="E69" s="196"/>
      <c r="F69" s="196"/>
      <c r="G69" s="196"/>
      <c r="H69" s="196"/>
    </row>
    <row r="70" spans="1:8" x14ac:dyDescent="0.25">
      <c r="A70" s="203" t="s">
        <v>52</v>
      </c>
      <c r="B70" s="203" t="s">
        <v>62</v>
      </c>
      <c r="C70" s="197">
        <v>0</v>
      </c>
      <c r="D70" s="196"/>
      <c r="E70" s="196"/>
      <c r="F70" s="196"/>
      <c r="G70" s="196"/>
      <c r="H70" s="196"/>
    </row>
    <row r="71" spans="1:8" x14ac:dyDescent="0.25">
      <c r="A71" s="203" t="s">
        <v>63</v>
      </c>
      <c r="B71" s="203" t="s">
        <v>64</v>
      </c>
      <c r="C71" s="197">
        <v>0</v>
      </c>
      <c r="D71" s="196"/>
      <c r="E71" s="196"/>
      <c r="F71" s="196"/>
      <c r="G71" s="196"/>
      <c r="H71" s="196"/>
    </row>
    <row r="72" spans="1:8" x14ac:dyDescent="0.25">
      <c r="A72" s="203" t="s">
        <v>65</v>
      </c>
      <c r="B72" s="203" t="s">
        <v>66</v>
      </c>
      <c r="C72" s="197">
        <v>0</v>
      </c>
      <c r="D72" s="196"/>
      <c r="E72" s="196"/>
      <c r="F72" s="196"/>
      <c r="G72" s="196"/>
      <c r="H72" s="196"/>
    </row>
    <row r="73" spans="1:8" x14ac:dyDescent="0.25">
      <c r="A73" s="203" t="s">
        <v>67</v>
      </c>
      <c r="B73" s="203" t="s">
        <v>68</v>
      </c>
      <c r="C73" s="197">
        <v>0</v>
      </c>
      <c r="D73" s="196"/>
      <c r="E73" s="196"/>
      <c r="F73" s="196"/>
      <c r="G73" s="196"/>
      <c r="H73" s="196"/>
    </row>
    <row r="74" spans="1:8" x14ac:dyDescent="0.25">
      <c r="A74" s="203" t="s">
        <v>53</v>
      </c>
      <c r="B74" s="203" t="s">
        <v>69</v>
      </c>
      <c r="C74" s="197">
        <v>0</v>
      </c>
      <c r="D74" s="196"/>
      <c r="E74" s="196"/>
      <c r="F74" s="196"/>
      <c r="G74" s="196"/>
      <c r="H74" s="196"/>
    </row>
    <row r="75" spans="1:8" x14ac:dyDescent="0.25">
      <c r="A75" s="203" t="s">
        <v>70</v>
      </c>
      <c r="B75" s="203" t="s">
        <v>71</v>
      </c>
      <c r="C75" s="197">
        <v>0</v>
      </c>
      <c r="D75" s="196"/>
      <c r="E75" s="196"/>
      <c r="F75" s="196"/>
      <c r="G75" s="196"/>
      <c r="H75" s="196"/>
    </row>
    <row r="76" spans="1:8" x14ac:dyDescent="0.25">
      <c r="A76" s="203" t="s">
        <v>54</v>
      </c>
      <c r="B76" s="203" t="s">
        <v>58</v>
      </c>
      <c r="C76" s="197">
        <v>0</v>
      </c>
      <c r="D76" s="196"/>
      <c r="E76" s="196"/>
      <c r="F76" s="196"/>
      <c r="G76" s="196"/>
      <c r="H76" s="196"/>
    </row>
    <row r="77" spans="1:8" x14ac:dyDescent="0.25">
      <c r="A77" s="203" t="s">
        <v>55</v>
      </c>
      <c r="B77" s="203" t="s">
        <v>72</v>
      </c>
      <c r="C77" s="197"/>
      <c r="D77" s="196"/>
      <c r="E77" s="196"/>
      <c r="F77" s="196"/>
      <c r="G77" s="196"/>
      <c r="H77" s="196"/>
    </row>
    <row r="78" spans="1:8" ht="45" x14ac:dyDescent="0.25">
      <c r="A78" s="203" t="s">
        <v>73</v>
      </c>
      <c r="B78" s="208" t="s">
        <v>74</v>
      </c>
      <c r="C78" s="197"/>
      <c r="D78" s="196"/>
      <c r="E78" s="196"/>
      <c r="F78" s="196"/>
      <c r="G78" s="196"/>
      <c r="H78" s="196"/>
    </row>
    <row r="79" spans="1:8" x14ac:dyDescent="0.25">
      <c r="A79" s="203" t="s">
        <v>56</v>
      </c>
      <c r="B79" s="203" t="s">
        <v>75</v>
      </c>
      <c r="C79" s="197"/>
      <c r="D79" s="196"/>
      <c r="E79" s="196"/>
      <c r="F79" s="196"/>
      <c r="G79" s="196"/>
      <c r="H79" s="196"/>
    </row>
    <row r="80" spans="1:8" x14ac:dyDescent="0.25">
      <c r="A80" s="203" t="s">
        <v>76</v>
      </c>
      <c r="B80" s="203" t="s">
        <v>77</v>
      </c>
      <c r="C80" s="197">
        <v>86674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</row>
    <row r="81" spans="1:8" ht="15" customHeight="1" x14ac:dyDescent="0.25">
      <c r="A81" s="203" t="s">
        <v>57</v>
      </c>
      <c r="B81" s="203" t="s">
        <v>78</v>
      </c>
      <c r="C81" s="197"/>
      <c r="D81" s="196"/>
      <c r="E81" s="196"/>
      <c r="F81" s="196"/>
      <c r="G81" s="196"/>
      <c r="H81" s="196"/>
    </row>
    <row r="82" spans="1:8" x14ac:dyDescent="0.25">
      <c r="A82" s="198" t="s">
        <v>8</v>
      </c>
      <c r="B82" s="198"/>
      <c r="C82" s="196">
        <f>SUM(C67:C81)</f>
        <v>165259</v>
      </c>
      <c r="D82" s="196">
        <f>SUM(D67:D81)</f>
        <v>183308</v>
      </c>
      <c r="E82" s="196">
        <f>SUM(E67:E81)</f>
        <v>100473</v>
      </c>
      <c r="F82" s="196">
        <f>SUM(F67:F81)</f>
        <v>71793</v>
      </c>
      <c r="G82" s="196">
        <f>SUM(G67:G81)</f>
        <v>46943</v>
      </c>
      <c r="H82" s="196">
        <f>SUM(H67:H81)</f>
        <v>23726</v>
      </c>
    </row>
    <row r="83" spans="1:8" x14ac:dyDescent="0.25">
      <c r="A83" s="198"/>
      <c r="B83" s="198"/>
      <c r="C83" s="197"/>
      <c r="D83" s="196"/>
      <c r="E83" s="196"/>
      <c r="F83" s="196"/>
      <c r="G83" s="196"/>
      <c r="H83" s="196"/>
    </row>
    <row r="84" spans="1:8" s="17" customFormat="1" x14ac:dyDescent="0.25">
      <c r="A84" s="200" t="s">
        <v>125</v>
      </c>
      <c r="B84" s="207" t="s">
        <v>124</v>
      </c>
      <c r="C84" s="199">
        <f>49795.89+92135.43+45735.81+452.59+86674.4+1830.75+67725</f>
        <v>344349.87</v>
      </c>
      <c r="D84" s="201">
        <v>323000</v>
      </c>
      <c r="E84" s="201">
        <v>367000</v>
      </c>
      <c r="F84" s="201">
        <v>474825</v>
      </c>
      <c r="G84" s="201">
        <v>352000</v>
      </c>
      <c r="H84" s="201">
        <v>400000</v>
      </c>
    </row>
    <row r="85" spans="1:8" x14ac:dyDescent="0.25">
      <c r="A85" s="198"/>
      <c r="B85" s="198"/>
      <c r="C85" s="197"/>
      <c r="D85" s="196"/>
      <c r="E85" s="196"/>
      <c r="F85" s="196"/>
      <c r="G85" s="196"/>
      <c r="H85" s="196"/>
    </row>
    <row r="86" spans="1:8" x14ac:dyDescent="0.25">
      <c r="A86" s="198" t="s">
        <v>152</v>
      </c>
      <c r="B86" s="198"/>
      <c r="C86" s="197"/>
      <c r="D86" s="196"/>
      <c r="E86" s="196"/>
      <c r="F86" s="196"/>
      <c r="G86" s="196"/>
      <c r="H86" s="196"/>
    </row>
    <row r="87" spans="1:8" s="17" customFormat="1" x14ac:dyDescent="0.25">
      <c r="A87" s="206" t="s">
        <v>9</v>
      </c>
      <c r="B87" s="206" t="s">
        <v>80</v>
      </c>
      <c r="C87" s="205">
        <v>-241791</v>
      </c>
      <c r="D87" s="204">
        <v>-180000</v>
      </c>
      <c r="E87" s="204">
        <v>-250000</v>
      </c>
      <c r="F87" s="204">
        <v>-250000</v>
      </c>
      <c r="G87" s="204">
        <v>-100000</v>
      </c>
      <c r="H87" s="204">
        <v>-80000</v>
      </c>
    </row>
    <row r="88" spans="1:8" x14ac:dyDescent="0.25">
      <c r="A88" s="203" t="s">
        <v>88</v>
      </c>
      <c r="B88" s="202" t="s">
        <v>81</v>
      </c>
      <c r="C88" s="197">
        <v>0</v>
      </c>
      <c r="D88" s="196"/>
      <c r="E88" s="196"/>
      <c r="F88" s="196"/>
      <c r="G88" s="196"/>
      <c r="H88" s="196"/>
    </row>
    <row r="89" spans="1:8" x14ac:dyDescent="0.25">
      <c r="A89" s="203" t="s">
        <v>88</v>
      </c>
      <c r="B89" s="202" t="s">
        <v>82</v>
      </c>
      <c r="C89" s="197">
        <v>0</v>
      </c>
      <c r="D89" s="196"/>
      <c r="E89" s="196"/>
      <c r="F89" s="196"/>
      <c r="G89" s="196"/>
      <c r="H89" s="196"/>
    </row>
    <row r="90" spans="1:8" x14ac:dyDescent="0.25">
      <c r="A90" s="203" t="s">
        <v>89</v>
      </c>
      <c r="B90" s="202" t="s">
        <v>83</v>
      </c>
      <c r="C90" s="197">
        <v>0</v>
      </c>
      <c r="D90" s="196"/>
      <c r="E90" s="196"/>
      <c r="F90" s="196"/>
      <c r="G90" s="196"/>
      <c r="H90" s="196"/>
    </row>
    <row r="91" spans="1:8" x14ac:dyDescent="0.25">
      <c r="A91" s="203" t="s">
        <v>90</v>
      </c>
      <c r="B91" s="202" t="s">
        <v>84</v>
      </c>
      <c r="C91" s="197">
        <v>0</v>
      </c>
      <c r="D91" s="196"/>
      <c r="E91" s="196"/>
      <c r="F91" s="196"/>
      <c r="G91" s="196"/>
      <c r="H91" s="196"/>
    </row>
    <row r="92" spans="1:8" x14ac:dyDescent="0.25">
      <c r="A92" s="203" t="s">
        <v>79</v>
      </c>
      <c r="B92" s="202" t="s">
        <v>85</v>
      </c>
      <c r="C92" s="197">
        <v>0</v>
      </c>
      <c r="D92" s="196"/>
      <c r="E92" s="196"/>
      <c r="F92" s="196"/>
      <c r="G92" s="196"/>
      <c r="H92" s="196"/>
    </row>
    <row r="93" spans="1:8" x14ac:dyDescent="0.25">
      <c r="A93" s="203" t="s">
        <v>91</v>
      </c>
      <c r="B93" s="202" t="s">
        <v>86</v>
      </c>
      <c r="C93" s="197">
        <v>0</v>
      </c>
      <c r="D93" s="196"/>
      <c r="E93" s="196"/>
      <c r="F93" s="196"/>
      <c r="G93" s="196"/>
      <c r="H93" s="196"/>
    </row>
    <row r="94" spans="1:8" x14ac:dyDescent="0.25">
      <c r="A94" s="203" t="s">
        <v>92</v>
      </c>
      <c r="B94" s="202" t="s">
        <v>87</v>
      </c>
      <c r="C94" s="197">
        <v>0</v>
      </c>
      <c r="D94" s="196"/>
      <c r="E94" s="196"/>
      <c r="F94" s="196"/>
      <c r="G94" s="196"/>
      <c r="H94" s="196"/>
    </row>
    <row r="95" spans="1:8" x14ac:dyDescent="0.25">
      <c r="A95" s="198" t="s">
        <v>10</v>
      </c>
      <c r="B95" s="198"/>
      <c r="C95" s="196">
        <f>SUM(C87:C94)</f>
        <v>-241791</v>
      </c>
      <c r="D95" s="196">
        <f>SUM(D87:D94)</f>
        <v>-180000</v>
      </c>
      <c r="E95" s="196">
        <f>SUM(E87:E94)</f>
        <v>-250000</v>
      </c>
      <c r="F95" s="196">
        <f>SUM(F87:F94)</f>
        <v>-250000</v>
      </c>
      <c r="G95" s="196">
        <f>SUM(G87:G94)</f>
        <v>-100000</v>
      </c>
      <c r="H95" s="196">
        <f>SUM(H87:H94)</f>
        <v>-80000</v>
      </c>
    </row>
    <row r="96" spans="1:8" x14ac:dyDescent="0.25">
      <c r="A96" s="198"/>
      <c r="B96" s="198"/>
      <c r="C96" s="197"/>
      <c r="D96" s="196"/>
      <c r="E96" s="196"/>
      <c r="F96" s="196"/>
      <c r="G96" s="196"/>
      <c r="H96" s="196"/>
    </row>
    <row r="97" spans="1:8" s="17" customFormat="1" x14ac:dyDescent="0.25">
      <c r="A97" s="200" t="s">
        <v>121</v>
      </c>
      <c r="B97" s="200" t="s">
        <v>126</v>
      </c>
      <c r="C97" s="199">
        <v>489062.85</v>
      </c>
      <c r="D97" s="201">
        <v>474706</v>
      </c>
      <c r="E97" s="201">
        <v>490026</v>
      </c>
      <c r="F97" s="201">
        <v>573000</v>
      </c>
      <c r="G97" s="201">
        <v>426958</v>
      </c>
      <c r="H97" s="201">
        <v>451232</v>
      </c>
    </row>
    <row r="98" spans="1:8" s="17" customFormat="1" x14ac:dyDescent="0.25">
      <c r="A98" s="200" t="s">
        <v>122</v>
      </c>
      <c r="B98" s="200" t="s">
        <v>127</v>
      </c>
      <c r="C98" s="199">
        <v>17005752</v>
      </c>
      <c r="D98" s="201">
        <f>C98-D49+D40</f>
        <v>19041528.740000002</v>
      </c>
      <c r="E98" s="201">
        <f>D98-E49+E40</f>
        <v>21863080.859500002</v>
      </c>
      <c r="F98" s="201">
        <f>E98-F49+F40</f>
        <v>24296815.098500002</v>
      </c>
      <c r="G98" s="201">
        <f>F98-G49+G40</f>
        <v>24178969.337500002</v>
      </c>
      <c r="H98" s="201">
        <f>G98-H49+H40</f>
        <v>22018613.576500002</v>
      </c>
    </row>
    <row r="99" spans="1:8" s="17" customFormat="1" x14ac:dyDescent="0.25">
      <c r="A99" s="200" t="s">
        <v>131</v>
      </c>
      <c r="B99" s="200"/>
      <c r="C99" s="199">
        <v>17139605</v>
      </c>
      <c r="D99" s="201">
        <f>C99+D46</f>
        <v>19092762.390000001</v>
      </c>
      <c r="E99" s="201">
        <f>D99+E46</f>
        <v>21914314.339500003</v>
      </c>
      <c r="F99" s="201">
        <f>E99+F46</f>
        <v>24348048.178500004</v>
      </c>
      <c r="G99" s="201">
        <f>F99+G46</f>
        <v>24230202.717500005</v>
      </c>
      <c r="H99" s="201">
        <f>G99+H46</f>
        <v>22069846.696500003</v>
      </c>
    </row>
    <row r="100" spans="1:8" s="17" customFormat="1" x14ac:dyDescent="0.25">
      <c r="A100" s="200" t="s">
        <v>123</v>
      </c>
      <c r="B100" s="200" t="s">
        <v>128</v>
      </c>
      <c r="C100" s="199">
        <f>C97+C98</f>
        <v>17494814.850000001</v>
      </c>
      <c r="D100" s="199">
        <f>D97+D98</f>
        <v>19516234.740000002</v>
      </c>
      <c r="E100" s="199">
        <f>E97+E98</f>
        <v>22353106.859500002</v>
      </c>
      <c r="F100" s="199">
        <f>F97+F98</f>
        <v>24869815.098500002</v>
      </c>
      <c r="G100" s="199">
        <f>G97+G98</f>
        <v>24605927.337500002</v>
      </c>
      <c r="H100" s="199">
        <f>H97+H98</f>
        <v>22469845.576500002</v>
      </c>
    </row>
    <row r="101" spans="1:8" x14ac:dyDescent="0.25">
      <c r="A101" s="198"/>
      <c r="B101" s="198"/>
      <c r="C101" s="197"/>
      <c r="D101" s="196"/>
      <c r="E101" s="196"/>
      <c r="F101" s="196"/>
      <c r="G101" s="196"/>
      <c r="H101" s="196"/>
    </row>
    <row r="102" spans="1:8" x14ac:dyDescent="0.25">
      <c r="A102" s="195" t="s">
        <v>11</v>
      </c>
      <c r="B102" s="195"/>
      <c r="C102" s="194">
        <f>C82+C95</f>
        <v>-76532</v>
      </c>
      <c r="D102" s="194">
        <f>D82+D95</f>
        <v>3308</v>
      </c>
      <c r="E102" s="194">
        <f>E82+E95</f>
        <v>-149527</v>
      </c>
      <c r="F102" s="194">
        <f>F82+F95</f>
        <v>-178207</v>
      </c>
      <c r="G102" s="194">
        <f>G82+G95</f>
        <v>-53057</v>
      </c>
      <c r="H102" s="194">
        <f>H82+H95</f>
        <v>-56274</v>
      </c>
    </row>
    <row r="103" spans="1:8" x14ac:dyDescent="0.25">
      <c r="A103" s="193" t="s">
        <v>3</v>
      </c>
      <c r="B103" s="193"/>
      <c r="C103" s="211">
        <f>C102/C16</f>
        <v>-3.4652864974920546E-2</v>
      </c>
      <c r="D103" s="211">
        <f>D102/D16</f>
        <v>1.5465069419835493E-3</v>
      </c>
      <c r="E103" s="211">
        <f>E102/E16</f>
        <v>-6.9065588914549655E-2</v>
      </c>
      <c r="F103" s="211">
        <f>F102/F16</f>
        <v>-7.7616289198606275E-2</v>
      </c>
      <c r="G103" s="211">
        <f>G102/G16</f>
        <v>-2.1834156378600825E-2</v>
      </c>
      <c r="H103" s="211">
        <f>H102/H16</f>
        <v>-2.2792223572296478E-2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3622047244094491" right="0.15748031496062992" top="0.31496062992125984" bottom="0.19685039370078741" header="0.31496062992125984" footer="0.15748031496062992"/>
  <pageSetup paperSize="9" scale="8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" x14ac:dyDescent="0.25"/>
  <cols>
    <col min="1" max="1" width="43.85546875" style="32" customWidth="1"/>
    <col min="2" max="2" width="28" style="32" bestFit="1" customWidth="1"/>
    <col min="3" max="8" width="14.5703125" style="32" customWidth="1"/>
    <col min="9" max="16384" width="9.140625" style="32"/>
  </cols>
  <sheetData>
    <row r="1" spans="1:8" ht="30" x14ac:dyDescent="0.25">
      <c r="A1" s="34" t="s">
        <v>159</v>
      </c>
      <c r="B1" s="31" t="s">
        <v>335</v>
      </c>
    </row>
    <row r="2" spans="1:8" x14ac:dyDescent="0.25">
      <c r="A2" s="1"/>
    </row>
    <row r="3" spans="1:8" x14ac:dyDescent="0.25">
      <c r="A3" s="1" t="s">
        <v>140</v>
      </c>
      <c r="B3" s="1"/>
      <c r="C3" s="1"/>
      <c r="D3" s="393"/>
      <c r="E3" s="393"/>
      <c r="F3" s="1"/>
      <c r="G3" s="1"/>
      <c r="H3" s="1"/>
    </row>
    <row r="4" spans="1:8" x14ac:dyDescent="0.25">
      <c r="A4" s="217" t="s">
        <v>157</v>
      </c>
      <c r="B4" s="217" t="s">
        <v>12</v>
      </c>
      <c r="C4" s="215">
        <v>2015</v>
      </c>
      <c r="D4" s="216">
        <v>2016</v>
      </c>
      <c r="E4" s="216">
        <v>2017</v>
      </c>
      <c r="F4" s="216">
        <v>2018</v>
      </c>
      <c r="G4" s="216">
        <v>2019</v>
      </c>
      <c r="H4" s="216">
        <v>2020</v>
      </c>
    </row>
    <row r="5" spans="1:8" x14ac:dyDescent="0.25">
      <c r="A5" s="215"/>
      <c r="B5" s="215"/>
      <c r="C5" s="215"/>
      <c r="D5" s="202"/>
      <c r="E5" s="202"/>
      <c r="F5" s="202"/>
      <c r="G5" s="202"/>
      <c r="H5" s="202"/>
    </row>
    <row r="6" spans="1:8" x14ac:dyDescent="0.25">
      <c r="A6" s="198" t="s">
        <v>49</v>
      </c>
      <c r="B6" s="198"/>
      <c r="C6" s="197"/>
      <c r="D6" s="196"/>
      <c r="E6" s="196"/>
      <c r="F6" s="196"/>
      <c r="G6" s="196"/>
      <c r="H6" s="196"/>
    </row>
    <row r="7" spans="1:8" x14ac:dyDescent="0.25">
      <c r="A7" s="203" t="s">
        <v>13</v>
      </c>
      <c r="B7" s="203" t="s">
        <v>25</v>
      </c>
      <c r="C7" s="197"/>
      <c r="D7" s="196"/>
      <c r="E7" s="196"/>
      <c r="F7" s="196"/>
      <c r="G7" s="196"/>
      <c r="H7" s="196"/>
    </row>
    <row r="8" spans="1:8" x14ac:dyDescent="0.25">
      <c r="A8" s="203" t="s">
        <v>26</v>
      </c>
      <c r="B8" s="203" t="s">
        <v>27</v>
      </c>
      <c r="C8" s="197">
        <v>559932</v>
      </c>
      <c r="D8" s="196">
        <v>562600</v>
      </c>
      <c r="E8" s="196">
        <v>705000</v>
      </c>
      <c r="F8" s="196">
        <v>794000</v>
      </c>
      <c r="G8" s="196">
        <v>819000</v>
      </c>
      <c r="H8" s="196">
        <v>838000</v>
      </c>
    </row>
    <row r="9" spans="1:8" x14ac:dyDescent="0.25">
      <c r="A9" s="203" t="s">
        <v>28</v>
      </c>
      <c r="B9" s="203" t="s">
        <v>14</v>
      </c>
      <c r="C9" s="197">
        <v>0</v>
      </c>
      <c r="D9" s="196"/>
      <c r="E9" s="196"/>
      <c r="F9" s="196"/>
      <c r="G9" s="196"/>
      <c r="H9" s="196"/>
    </row>
    <row r="10" spans="1:8" x14ac:dyDescent="0.25">
      <c r="A10" s="203" t="s">
        <v>15</v>
      </c>
      <c r="B10" s="203" t="s">
        <v>29</v>
      </c>
      <c r="C10" s="197">
        <v>1141638</v>
      </c>
      <c r="D10" s="196">
        <f>1195790+1500</f>
        <v>1197290</v>
      </c>
      <c r="E10" s="196">
        <v>1200000</v>
      </c>
      <c r="F10" s="196">
        <v>1334000</v>
      </c>
      <c r="G10" s="196">
        <v>1340000</v>
      </c>
      <c r="H10" s="196">
        <v>1356000</v>
      </c>
    </row>
    <row r="11" spans="1:8" x14ac:dyDescent="0.25">
      <c r="A11" s="203" t="s">
        <v>16</v>
      </c>
      <c r="B11" s="203" t="s">
        <v>30</v>
      </c>
      <c r="C11" s="197">
        <v>10025</v>
      </c>
      <c r="D11" s="196">
        <v>9500</v>
      </c>
      <c r="E11" s="196">
        <v>10000</v>
      </c>
      <c r="F11" s="196">
        <v>10000</v>
      </c>
      <c r="G11" s="196">
        <v>10000</v>
      </c>
      <c r="H11" s="196">
        <v>10000</v>
      </c>
    </row>
    <row r="12" spans="1:8" x14ac:dyDescent="0.25">
      <c r="A12" s="203" t="s">
        <v>31</v>
      </c>
      <c r="B12" s="203" t="s">
        <v>32</v>
      </c>
      <c r="C12" s="197"/>
      <c r="D12" s="196"/>
      <c r="E12" s="196"/>
      <c r="F12" s="196"/>
      <c r="G12" s="196"/>
      <c r="H12" s="196"/>
    </row>
    <row r="13" spans="1:8" x14ac:dyDescent="0.25">
      <c r="A13" s="203" t="s">
        <v>17</v>
      </c>
      <c r="B13" s="203" t="s">
        <v>33</v>
      </c>
      <c r="C13" s="197">
        <v>-14</v>
      </c>
      <c r="D13" s="196"/>
      <c r="E13" s="196"/>
      <c r="F13" s="196"/>
      <c r="G13" s="196"/>
      <c r="H13" s="196"/>
    </row>
    <row r="14" spans="1:8" x14ac:dyDescent="0.25">
      <c r="A14" s="203" t="s">
        <v>18</v>
      </c>
      <c r="B14" s="203" t="s">
        <v>34</v>
      </c>
      <c r="C14" s="197"/>
      <c r="D14" s="196"/>
      <c r="E14" s="196"/>
      <c r="F14" s="196"/>
      <c r="G14" s="196"/>
      <c r="H14" s="196"/>
    </row>
    <row r="15" spans="1:8" x14ac:dyDescent="0.25">
      <c r="A15" s="203" t="s">
        <v>35</v>
      </c>
      <c r="B15" s="203" t="s">
        <v>36</v>
      </c>
      <c r="C15" s="197"/>
      <c r="D15" s="196"/>
      <c r="E15" s="196"/>
      <c r="F15" s="196"/>
      <c r="G15" s="196"/>
      <c r="H15" s="196"/>
    </row>
    <row r="16" spans="1:8" x14ac:dyDescent="0.25">
      <c r="A16" s="198" t="s">
        <v>0</v>
      </c>
      <c r="B16" s="198"/>
      <c r="C16" s="196">
        <f>SUM(C7:C15)</f>
        <v>1711581</v>
      </c>
      <c r="D16" s="196">
        <f>SUM(D7:D15)</f>
        <v>1769390</v>
      </c>
      <c r="E16" s="196">
        <f>SUM(E7:E15)</f>
        <v>1915000</v>
      </c>
      <c r="F16" s="196">
        <f>SUM(F7:F15)</f>
        <v>2138000</v>
      </c>
      <c r="G16" s="196">
        <f>SUM(G7:G15)</f>
        <v>2169000</v>
      </c>
      <c r="H16" s="196">
        <f>SUM(H7:H15)</f>
        <v>2204000</v>
      </c>
    </row>
    <row r="17" spans="1:8" x14ac:dyDescent="0.25">
      <c r="A17" s="203"/>
      <c r="B17" s="203"/>
      <c r="C17" s="196"/>
      <c r="D17" s="196"/>
      <c r="E17" s="196"/>
      <c r="F17" s="196"/>
      <c r="G17" s="196"/>
      <c r="H17" s="196"/>
    </row>
    <row r="18" spans="1:8" s="17" customFormat="1" x14ac:dyDescent="0.25">
      <c r="A18" s="207" t="s">
        <v>132</v>
      </c>
      <c r="B18" s="207"/>
      <c r="C18" s="201"/>
      <c r="D18" s="201"/>
      <c r="E18" s="201"/>
      <c r="F18" s="201"/>
      <c r="G18" s="201"/>
      <c r="H18" s="201"/>
    </row>
    <row r="19" spans="1:8" s="17" customFormat="1" x14ac:dyDescent="0.25">
      <c r="A19" s="207" t="s">
        <v>147</v>
      </c>
      <c r="B19" s="207" t="s">
        <v>115</v>
      </c>
      <c r="C19" s="201">
        <v>559932</v>
      </c>
      <c r="D19" s="201">
        <v>562600</v>
      </c>
      <c r="E19" s="201">
        <v>705000</v>
      </c>
      <c r="F19" s="201">
        <v>794000</v>
      </c>
      <c r="G19" s="201">
        <v>819000</v>
      </c>
      <c r="H19" s="201">
        <v>838000</v>
      </c>
    </row>
    <row r="20" spans="1:8" s="17" customFormat="1" x14ac:dyDescent="0.25">
      <c r="A20" s="207" t="s">
        <v>148</v>
      </c>
      <c r="B20" s="207" t="s">
        <v>117</v>
      </c>
      <c r="C20" s="201">
        <v>1211149</v>
      </c>
      <c r="D20" s="201">
        <v>9929000</v>
      </c>
      <c r="E20" s="201">
        <v>6086000</v>
      </c>
      <c r="F20" s="201">
        <v>1344000</v>
      </c>
      <c r="G20" s="201">
        <v>1350000</v>
      </c>
      <c r="H20" s="201">
        <v>1366000</v>
      </c>
    </row>
    <row r="21" spans="1:8" s="17" customFormat="1" x14ac:dyDescent="0.25">
      <c r="A21" s="207" t="s">
        <v>114</v>
      </c>
      <c r="B21" s="207" t="s">
        <v>116</v>
      </c>
      <c r="C21" s="201">
        <v>1771067</v>
      </c>
      <c r="D21" s="201">
        <f>D19+D20</f>
        <v>10491600</v>
      </c>
      <c r="E21" s="201">
        <f>E19+E20</f>
        <v>6791000</v>
      </c>
      <c r="F21" s="201">
        <f>F19+F20</f>
        <v>2138000</v>
      </c>
      <c r="G21" s="201">
        <f>G19+G20</f>
        <v>2169000</v>
      </c>
      <c r="H21" s="201">
        <f>H19+H20</f>
        <v>2204000</v>
      </c>
    </row>
    <row r="22" spans="1:8" x14ac:dyDescent="0.25">
      <c r="A22" s="203"/>
      <c r="B22" s="203"/>
      <c r="C22" s="197"/>
      <c r="D22" s="196"/>
      <c r="E22" s="196"/>
      <c r="F22" s="196"/>
      <c r="G22" s="196"/>
      <c r="H22" s="196"/>
    </row>
    <row r="23" spans="1:8" x14ac:dyDescent="0.25">
      <c r="A23" s="202" t="s">
        <v>149</v>
      </c>
      <c r="B23" s="203"/>
      <c r="C23" s="197"/>
      <c r="D23" s="196"/>
      <c r="E23" s="196"/>
      <c r="F23" s="196"/>
      <c r="G23" s="196"/>
      <c r="H23" s="196"/>
    </row>
    <row r="24" spans="1:8" x14ac:dyDescent="0.25">
      <c r="A24" s="203" t="s">
        <v>19</v>
      </c>
      <c r="B24" s="203" t="s">
        <v>37</v>
      </c>
      <c r="C24" s="197"/>
      <c r="D24" s="196"/>
      <c r="E24" s="196"/>
      <c r="F24" s="196"/>
      <c r="G24" s="196"/>
      <c r="H24" s="196"/>
    </row>
    <row r="25" spans="1:8" x14ac:dyDescent="0.25">
      <c r="A25" s="203" t="s">
        <v>23</v>
      </c>
      <c r="B25" s="203" t="s">
        <v>24</v>
      </c>
      <c r="C25" s="197"/>
      <c r="D25" s="196"/>
      <c r="E25" s="196"/>
      <c r="F25" s="196"/>
      <c r="G25" s="196"/>
      <c r="H25" s="196"/>
    </row>
    <row r="26" spans="1:8" x14ac:dyDescent="0.25">
      <c r="A26" s="203" t="s">
        <v>20</v>
      </c>
      <c r="B26" s="203" t="s">
        <v>38</v>
      </c>
      <c r="C26" s="197"/>
      <c r="D26" s="196"/>
      <c r="E26" s="196"/>
      <c r="F26" s="196"/>
      <c r="G26" s="196"/>
      <c r="H26" s="196"/>
    </row>
    <row r="27" spans="1:8" x14ac:dyDescent="0.25">
      <c r="A27" s="203" t="s">
        <v>21</v>
      </c>
      <c r="B27" s="203" t="s">
        <v>39</v>
      </c>
      <c r="C27" s="197">
        <v>-1906</v>
      </c>
      <c r="D27" s="196">
        <v>-2360</v>
      </c>
      <c r="E27" s="196">
        <v>-2400</v>
      </c>
      <c r="F27" s="196">
        <v>-2400</v>
      </c>
      <c r="G27" s="196">
        <v>-2460</v>
      </c>
      <c r="H27" s="196">
        <v>-2500</v>
      </c>
    </row>
    <row r="28" spans="1:8" x14ac:dyDescent="0.25">
      <c r="A28" s="203" t="s">
        <v>22</v>
      </c>
      <c r="B28" s="203" t="s">
        <v>40</v>
      </c>
      <c r="C28" s="197">
        <v>-1675236</v>
      </c>
      <c r="D28" s="196">
        <v>-1859720</v>
      </c>
      <c r="E28" s="196">
        <v>-1986000</v>
      </c>
      <c r="F28" s="196">
        <v>-2135250</v>
      </c>
      <c r="G28" s="196">
        <v>-2166190</v>
      </c>
      <c r="H28" s="196">
        <v>-2201150</v>
      </c>
    </row>
    <row r="29" spans="1:8" x14ac:dyDescent="0.25">
      <c r="A29" s="202" t="s">
        <v>155</v>
      </c>
      <c r="B29" s="202" t="s">
        <v>156</v>
      </c>
      <c r="C29" s="197">
        <v>-1108803</v>
      </c>
      <c r="D29" s="196">
        <v>-1270820</v>
      </c>
      <c r="E29" s="196">
        <v>-1300000</v>
      </c>
      <c r="F29" s="196">
        <v>-1320000</v>
      </c>
      <c r="G29" s="196">
        <v>-1330000</v>
      </c>
      <c r="H29" s="196">
        <v>-1335000</v>
      </c>
    </row>
    <row r="30" spans="1:8" x14ac:dyDescent="0.25">
      <c r="A30" s="203" t="s">
        <v>41</v>
      </c>
      <c r="B30" s="203" t="s">
        <v>42</v>
      </c>
      <c r="C30" s="197">
        <v>-330</v>
      </c>
      <c r="D30" s="196">
        <v>-310</v>
      </c>
      <c r="E30" s="196">
        <v>-600</v>
      </c>
      <c r="F30" s="196">
        <v>-350</v>
      </c>
      <c r="G30" s="196">
        <v>-350</v>
      </c>
      <c r="H30" s="196">
        <v>-350</v>
      </c>
    </row>
    <row r="31" spans="1:8" x14ac:dyDescent="0.25">
      <c r="A31" s="203" t="s">
        <v>43</v>
      </c>
      <c r="B31" s="203" t="s">
        <v>44</v>
      </c>
      <c r="C31" s="197">
        <v>0</v>
      </c>
      <c r="D31" s="196"/>
      <c r="E31" s="196"/>
      <c r="F31" s="196"/>
      <c r="G31" s="196"/>
      <c r="H31" s="196"/>
    </row>
    <row r="32" spans="1:8" x14ac:dyDescent="0.25">
      <c r="A32" s="203" t="s">
        <v>45</v>
      </c>
      <c r="B32" s="203" t="s">
        <v>46</v>
      </c>
      <c r="C32" s="197">
        <v>0</v>
      </c>
      <c r="D32" s="197"/>
      <c r="E32" s="197"/>
      <c r="F32" s="197"/>
      <c r="G32" s="197"/>
      <c r="H32" s="197"/>
    </row>
    <row r="33" spans="1:8" x14ac:dyDescent="0.25">
      <c r="A33" s="203" t="s">
        <v>47</v>
      </c>
      <c r="B33" s="203" t="s">
        <v>48</v>
      </c>
      <c r="C33" s="197">
        <v>0</v>
      </c>
      <c r="D33" s="197"/>
      <c r="E33" s="197"/>
      <c r="F33" s="197"/>
      <c r="G33" s="197"/>
      <c r="H33" s="197"/>
    </row>
    <row r="34" spans="1:8" x14ac:dyDescent="0.25">
      <c r="A34" s="198" t="s">
        <v>1</v>
      </c>
      <c r="B34" s="198"/>
      <c r="C34" s="196">
        <f>SUM(C24:C28)+SUM(C30:C33)</f>
        <v>-1677472</v>
      </c>
      <c r="D34" s="196">
        <f>SUM(D24:D28)+SUM(D30:D33)</f>
        <v>-1862390</v>
      </c>
      <c r="E34" s="196">
        <f>SUM(E24:E28)+SUM(E30:E33)</f>
        <v>-1989000</v>
      </c>
      <c r="F34" s="196">
        <f>SUM(F24:F28)+SUM(F30:F33)</f>
        <v>-2138000</v>
      </c>
      <c r="G34" s="196">
        <f>SUM(G24:G28)+SUM(G30:G33)</f>
        <v>-2169000</v>
      </c>
      <c r="H34" s="196">
        <f>SUM(H24:H28)+SUM(H30:H33)</f>
        <v>-2204000</v>
      </c>
    </row>
    <row r="35" spans="1:8" x14ac:dyDescent="0.25">
      <c r="A35" s="198"/>
      <c r="B35" s="198"/>
      <c r="C35" s="196"/>
      <c r="D35" s="196"/>
      <c r="E35" s="196"/>
      <c r="F35" s="196"/>
      <c r="G35" s="196"/>
      <c r="H35" s="196"/>
    </row>
    <row r="36" spans="1:8" s="17" customFormat="1" x14ac:dyDescent="0.25">
      <c r="A36" s="200" t="s">
        <v>150</v>
      </c>
      <c r="B36" s="200"/>
      <c r="C36" s="201"/>
      <c r="D36" s="201"/>
      <c r="E36" s="201"/>
      <c r="F36" s="201"/>
      <c r="G36" s="201"/>
      <c r="H36" s="201"/>
    </row>
    <row r="37" spans="1:8" s="17" customFormat="1" x14ac:dyDescent="0.25">
      <c r="A37" s="200" t="s">
        <v>119</v>
      </c>
      <c r="B37" s="200" t="s">
        <v>118</v>
      </c>
      <c r="C37" s="201">
        <v>-1906</v>
      </c>
      <c r="D37" s="201">
        <v>-2360</v>
      </c>
      <c r="E37" s="201">
        <v>-2400</v>
      </c>
      <c r="F37" s="201">
        <v>-2400</v>
      </c>
      <c r="G37" s="201">
        <v>-2460</v>
      </c>
      <c r="H37" s="201">
        <v>-2500</v>
      </c>
    </row>
    <row r="38" spans="1:8" s="17" customFormat="1" x14ac:dyDescent="0.25">
      <c r="A38" s="200" t="s">
        <v>133</v>
      </c>
      <c r="B38" s="200" t="s">
        <v>134</v>
      </c>
      <c r="C38" s="201">
        <v>-1675236</v>
      </c>
      <c r="D38" s="201">
        <v>-1859720</v>
      </c>
      <c r="E38" s="201">
        <v>-1986000</v>
      </c>
      <c r="F38" s="201">
        <v>-2135250</v>
      </c>
      <c r="G38" s="201">
        <v>-2166190</v>
      </c>
      <c r="H38" s="201">
        <v>-2201150</v>
      </c>
    </row>
    <row r="39" spans="1:8" s="17" customFormat="1" x14ac:dyDescent="0.25">
      <c r="A39" s="200" t="s">
        <v>136</v>
      </c>
      <c r="B39" s="200" t="s">
        <v>135</v>
      </c>
      <c r="C39" s="201">
        <v>-375019</v>
      </c>
      <c r="D39" s="201">
        <v>-2294330</v>
      </c>
      <c r="E39" s="201">
        <v>-1700600</v>
      </c>
      <c r="F39" s="201">
        <v>-700350</v>
      </c>
      <c r="G39" s="201">
        <v>-700350</v>
      </c>
      <c r="H39" s="201">
        <v>-700350</v>
      </c>
    </row>
    <row r="40" spans="1:8" s="17" customFormat="1" ht="30" x14ac:dyDescent="0.25">
      <c r="A40" s="200" t="s">
        <v>138</v>
      </c>
      <c r="B40" s="200" t="s">
        <v>120</v>
      </c>
      <c r="C40" s="199">
        <v>-374689</v>
      </c>
      <c r="D40" s="201">
        <v>-2294000</v>
      </c>
      <c r="E40" s="201">
        <v>-1700000</v>
      </c>
      <c r="F40" s="201">
        <v>-700000</v>
      </c>
      <c r="G40" s="201">
        <v>-700000</v>
      </c>
      <c r="H40" s="201">
        <v>-700000</v>
      </c>
    </row>
    <row r="41" spans="1:8" s="17" customFormat="1" x14ac:dyDescent="0.25">
      <c r="A41" s="200" t="s">
        <v>113</v>
      </c>
      <c r="B41" s="200" t="s">
        <v>137</v>
      </c>
      <c r="C41" s="201">
        <f>SUM(C37:C39)</f>
        <v>-2052161</v>
      </c>
      <c r="D41" s="201">
        <f>SUM(D37:D39)</f>
        <v>-4156410</v>
      </c>
      <c r="E41" s="201">
        <f>SUM(E37:E39)</f>
        <v>-3689000</v>
      </c>
      <c r="F41" s="201">
        <f>SUM(F37:F39)</f>
        <v>-2838000</v>
      </c>
      <c r="G41" s="201">
        <f>SUM(G37:G39)</f>
        <v>-2869000</v>
      </c>
      <c r="H41" s="201">
        <f>SUM(H37:H39)</f>
        <v>-2904000</v>
      </c>
    </row>
    <row r="42" spans="1:8" x14ac:dyDescent="0.25">
      <c r="A42" s="198"/>
      <c r="B42" s="198"/>
      <c r="C42" s="197"/>
      <c r="D42" s="196"/>
      <c r="E42" s="196"/>
      <c r="F42" s="196"/>
      <c r="G42" s="196"/>
      <c r="H42" s="196"/>
    </row>
    <row r="43" spans="1:8" ht="30" x14ac:dyDescent="0.25">
      <c r="A43" s="195" t="s">
        <v>334</v>
      </c>
      <c r="B43" s="195"/>
      <c r="C43" s="194">
        <f>C16+C34</f>
        <v>34109</v>
      </c>
      <c r="D43" s="194">
        <f>D16+D34</f>
        <v>-93000</v>
      </c>
      <c r="E43" s="194">
        <f>E16+E34</f>
        <v>-74000</v>
      </c>
      <c r="F43" s="194">
        <f>F16+F34</f>
        <v>0</v>
      </c>
      <c r="G43" s="194">
        <f>G16+G34</f>
        <v>0</v>
      </c>
      <c r="H43" s="194">
        <f>H16+H34</f>
        <v>0</v>
      </c>
    </row>
    <row r="44" spans="1:8" x14ac:dyDescent="0.25">
      <c r="A44" s="193" t="s">
        <v>3</v>
      </c>
      <c r="B44" s="193"/>
      <c r="C44" s="388">
        <f>C43/C16</f>
        <v>1.9928358634502253E-2</v>
      </c>
      <c r="D44" s="388">
        <f>D43/D16</f>
        <v>-5.2560486947479078E-2</v>
      </c>
      <c r="E44" s="388">
        <f>E43/E16</f>
        <v>-3.8642297650130546E-2</v>
      </c>
      <c r="F44" s="388">
        <f>F43/F16</f>
        <v>0</v>
      </c>
      <c r="G44" s="388">
        <f>G43/G16</f>
        <v>0</v>
      </c>
      <c r="H44" s="388">
        <f>H43/H16</f>
        <v>0</v>
      </c>
    </row>
    <row r="45" spans="1:8" x14ac:dyDescent="0.25">
      <c r="A45" s="193"/>
      <c r="B45" s="193"/>
      <c r="C45" s="211"/>
      <c r="D45" s="211"/>
      <c r="E45" s="211"/>
      <c r="F45" s="211"/>
      <c r="G45" s="211"/>
      <c r="H45" s="211"/>
    </row>
    <row r="46" spans="1:8" s="17" customFormat="1" x14ac:dyDescent="0.25">
      <c r="A46" s="213" t="s">
        <v>130</v>
      </c>
      <c r="B46" s="213" t="s">
        <v>141</v>
      </c>
      <c r="C46" s="212">
        <f>C21+C41</f>
        <v>-281094</v>
      </c>
      <c r="D46" s="212">
        <f>D21+D41</f>
        <v>6335190</v>
      </c>
      <c r="E46" s="212">
        <f>E21+E41</f>
        <v>3102000</v>
      </c>
      <c r="F46" s="212">
        <f>F21+F41</f>
        <v>-700000</v>
      </c>
      <c r="G46" s="212">
        <f>G21+G41</f>
        <v>-700000</v>
      </c>
      <c r="H46" s="212">
        <f>H21+H41</f>
        <v>-700000</v>
      </c>
    </row>
    <row r="47" spans="1:8" x14ac:dyDescent="0.25">
      <c r="A47" s="193"/>
      <c r="B47" s="193"/>
      <c r="C47" s="211"/>
      <c r="D47" s="211"/>
      <c r="E47" s="211"/>
      <c r="F47" s="211"/>
      <c r="G47" s="211"/>
      <c r="H47" s="211"/>
    </row>
    <row r="48" spans="1:8" x14ac:dyDescent="0.25">
      <c r="A48" s="198" t="s">
        <v>151</v>
      </c>
      <c r="B48" s="198"/>
      <c r="C48" s="197"/>
      <c r="D48" s="196"/>
      <c r="E48" s="196"/>
      <c r="F48" s="196"/>
      <c r="G48" s="196"/>
      <c r="H48" s="196"/>
    </row>
    <row r="49" spans="1:8" x14ac:dyDescent="0.25">
      <c r="A49" s="202" t="s">
        <v>107</v>
      </c>
      <c r="B49" s="198"/>
      <c r="C49" s="197">
        <v>-296439</v>
      </c>
      <c r="D49" s="196">
        <v>-8723043</v>
      </c>
      <c r="E49" s="196">
        <v>-4875708</v>
      </c>
      <c r="F49" s="196">
        <v>-50000</v>
      </c>
      <c r="G49" s="196"/>
      <c r="H49" s="196"/>
    </row>
    <row r="50" spans="1:8" x14ac:dyDescent="0.25">
      <c r="A50" s="202" t="s">
        <v>142</v>
      </c>
      <c r="B50" s="198"/>
      <c r="C50" s="197">
        <v>-14</v>
      </c>
      <c r="D50" s="196"/>
      <c r="E50" s="196"/>
      <c r="F50" s="196"/>
      <c r="G50" s="196"/>
      <c r="H50" s="196"/>
    </row>
    <row r="51" spans="1:8" x14ac:dyDescent="0.25">
      <c r="A51" s="202" t="s">
        <v>4</v>
      </c>
      <c r="B51" s="198"/>
      <c r="C51" s="197">
        <v>109486</v>
      </c>
      <c r="D51" s="196">
        <v>8723043</v>
      </c>
      <c r="E51" s="196">
        <v>4875708</v>
      </c>
      <c r="F51" s="196"/>
      <c r="G51" s="196"/>
      <c r="H51" s="196"/>
    </row>
    <row r="52" spans="1:8" x14ac:dyDescent="0.25">
      <c r="A52" s="202" t="s">
        <v>5</v>
      </c>
      <c r="B52" s="198"/>
      <c r="C52" s="197">
        <v>0</v>
      </c>
      <c r="D52" s="196"/>
      <c r="E52" s="196"/>
      <c r="F52" s="196"/>
      <c r="G52" s="196"/>
      <c r="H52" s="196"/>
    </row>
    <row r="53" spans="1:8" x14ac:dyDescent="0.25">
      <c r="A53" s="202" t="s">
        <v>143</v>
      </c>
      <c r="B53" s="198"/>
      <c r="C53" s="197">
        <v>0</v>
      </c>
      <c r="D53" s="196"/>
      <c r="E53" s="196"/>
      <c r="F53" s="196"/>
      <c r="G53" s="196"/>
      <c r="H53" s="196"/>
    </row>
    <row r="54" spans="1:8" x14ac:dyDescent="0.25">
      <c r="A54" s="202" t="s">
        <v>108</v>
      </c>
      <c r="B54" s="198"/>
      <c r="C54" s="197">
        <v>0</v>
      </c>
      <c r="D54" s="196"/>
      <c r="E54" s="196"/>
      <c r="F54" s="196"/>
      <c r="G54" s="196"/>
      <c r="H54" s="196"/>
    </row>
    <row r="55" spans="1:8" x14ac:dyDescent="0.25">
      <c r="A55" s="202" t="s">
        <v>144</v>
      </c>
      <c r="B55" s="198"/>
      <c r="C55" s="197">
        <v>0</v>
      </c>
      <c r="D55" s="196"/>
      <c r="E55" s="196"/>
      <c r="F55" s="196"/>
      <c r="G55" s="196"/>
      <c r="H55" s="196"/>
    </row>
    <row r="56" spans="1:8" x14ac:dyDescent="0.25">
      <c r="A56" s="202" t="s">
        <v>109</v>
      </c>
      <c r="B56" s="198"/>
      <c r="C56" s="197">
        <v>0</v>
      </c>
      <c r="D56" s="196"/>
      <c r="E56" s="196"/>
      <c r="F56" s="196"/>
      <c r="G56" s="196"/>
      <c r="H56" s="196"/>
    </row>
    <row r="57" spans="1:8" x14ac:dyDescent="0.25">
      <c r="A57" s="202" t="s">
        <v>145</v>
      </c>
      <c r="B57" s="198"/>
      <c r="C57" s="197">
        <v>0</v>
      </c>
      <c r="D57" s="196"/>
      <c r="E57" s="196"/>
      <c r="F57" s="196"/>
      <c r="G57" s="196"/>
      <c r="H57" s="196"/>
    </row>
    <row r="58" spans="1:8" x14ac:dyDescent="0.25">
      <c r="A58" s="202" t="s">
        <v>110</v>
      </c>
      <c r="B58" s="198"/>
      <c r="C58" s="197">
        <v>0</v>
      </c>
      <c r="D58" s="196"/>
      <c r="E58" s="196"/>
      <c r="F58" s="196"/>
      <c r="G58" s="196"/>
      <c r="H58" s="196"/>
    </row>
    <row r="59" spans="1:8" x14ac:dyDescent="0.25">
      <c r="A59" s="202" t="s">
        <v>146</v>
      </c>
      <c r="B59" s="198"/>
      <c r="C59" s="197">
        <v>0</v>
      </c>
      <c r="D59" s="196"/>
      <c r="E59" s="196"/>
      <c r="F59" s="196"/>
      <c r="G59" s="196"/>
      <c r="H59" s="196"/>
    </row>
    <row r="60" spans="1:8" x14ac:dyDescent="0.25">
      <c r="A60" s="202" t="s">
        <v>111</v>
      </c>
      <c r="B60" s="198"/>
      <c r="C60" s="197">
        <v>12181</v>
      </c>
      <c r="D60" s="196">
        <v>8667</v>
      </c>
      <c r="E60" s="196">
        <v>200</v>
      </c>
      <c r="F60" s="196">
        <v>0</v>
      </c>
      <c r="G60" s="196">
        <v>0</v>
      </c>
      <c r="H60" s="196">
        <v>0</v>
      </c>
    </row>
    <row r="61" spans="1:8" x14ac:dyDescent="0.25">
      <c r="A61" s="202" t="s">
        <v>112</v>
      </c>
      <c r="B61" s="198"/>
      <c r="C61" s="197"/>
      <c r="D61" s="196"/>
      <c r="E61" s="196"/>
      <c r="F61" s="196"/>
      <c r="G61" s="196"/>
      <c r="H61" s="196"/>
    </row>
    <row r="62" spans="1:8" s="17" customFormat="1" x14ac:dyDescent="0.25">
      <c r="A62" s="210" t="s">
        <v>6</v>
      </c>
      <c r="B62" s="210"/>
      <c r="C62" s="204">
        <f>SUM(C49:C61)</f>
        <v>-174786</v>
      </c>
      <c r="D62" s="204">
        <f>SUM(D49:D61)</f>
        <v>8667</v>
      </c>
      <c r="E62" s="204">
        <f>SUM(E49:E61)</f>
        <v>200</v>
      </c>
      <c r="F62" s="204">
        <f>SUM(F49:F61)</f>
        <v>-50000</v>
      </c>
      <c r="G62" s="204">
        <f>SUM(G49:G61)</f>
        <v>0</v>
      </c>
      <c r="H62" s="204">
        <f>SUM(H49:H61)</f>
        <v>0</v>
      </c>
    </row>
    <row r="63" spans="1:8" s="17" customFormat="1" x14ac:dyDescent="0.25">
      <c r="A63" s="210"/>
      <c r="B63" s="210"/>
      <c r="C63" s="205"/>
      <c r="D63" s="204"/>
      <c r="E63" s="204"/>
      <c r="F63" s="204"/>
      <c r="G63" s="204"/>
      <c r="H63" s="204"/>
    </row>
    <row r="64" spans="1:8" s="17" customFormat="1" x14ac:dyDescent="0.25">
      <c r="A64" s="195" t="s">
        <v>7</v>
      </c>
      <c r="B64" s="195"/>
      <c r="C64" s="194">
        <f>C43+C62</f>
        <v>-140677</v>
      </c>
      <c r="D64" s="194">
        <f>D43+D62</f>
        <v>-84333</v>
      </c>
      <c r="E64" s="194">
        <f>E43+E62</f>
        <v>-73800</v>
      </c>
      <c r="F64" s="194">
        <f>F43+F62</f>
        <v>-50000</v>
      </c>
      <c r="G64" s="194">
        <f>G43+G62</f>
        <v>0</v>
      </c>
      <c r="H64" s="194">
        <f>H43+H62</f>
        <v>0</v>
      </c>
    </row>
    <row r="65" spans="1:8" s="17" customFormat="1" x14ac:dyDescent="0.25">
      <c r="A65" s="210"/>
      <c r="B65" s="210"/>
      <c r="C65" s="205"/>
      <c r="D65" s="204"/>
      <c r="E65" s="204"/>
      <c r="F65" s="204"/>
      <c r="G65" s="204"/>
      <c r="H65" s="204"/>
    </row>
    <row r="66" spans="1:8" s="17" customFormat="1" x14ac:dyDescent="0.25">
      <c r="A66" s="210" t="s">
        <v>93</v>
      </c>
      <c r="B66" s="210"/>
      <c r="C66" s="205"/>
      <c r="D66" s="204"/>
      <c r="E66" s="204"/>
      <c r="F66" s="204"/>
      <c r="G66" s="204"/>
      <c r="H66" s="204"/>
    </row>
    <row r="67" spans="1:8" s="17" customFormat="1" x14ac:dyDescent="0.25">
      <c r="A67" s="209" t="s">
        <v>59</v>
      </c>
      <c r="B67" s="209" t="s">
        <v>50</v>
      </c>
      <c r="C67" s="205"/>
      <c r="D67" s="205"/>
      <c r="E67" s="205"/>
      <c r="F67" s="205"/>
      <c r="G67" s="205"/>
      <c r="H67" s="205"/>
    </row>
    <row r="68" spans="1:8" s="17" customFormat="1" x14ac:dyDescent="0.25">
      <c r="A68" s="209" t="s">
        <v>60</v>
      </c>
      <c r="B68" s="206" t="s">
        <v>129</v>
      </c>
      <c r="C68" s="205"/>
      <c r="D68" s="205"/>
      <c r="E68" s="205"/>
      <c r="F68" s="205"/>
      <c r="G68" s="205"/>
      <c r="H68" s="205"/>
    </row>
    <row r="69" spans="1:8" ht="60" x14ac:dyDescent="0.25">
      <c r="A69" s="203" t="s">
        <v>61</v>
      </c>
      <c r="B69" s="208" t="s">
        <v>51</v>
      </c>
      <c r="C69" s="197"/>
      <c r="D69" s="196"/>
      <c r="E69" s="196"/>
      <c r="F69" s="196"/>
      <c r="G69" s="196"/>
      <c r="H69" s="196"/>
    </row>
    <row r="70" spans="1:8" x14ac:dyDescent="0.25">
      <c r="A70" s="203" t="s">
        <v>52</v>
      </c>
      <c r="B70" s="203" t="s">
        <v>62</v>
      </c>
      <c r="C70" s="197"/>
      <c r="D70" s="196"/>
      <c r="E70" s="196"/>
      <c r="F70" s="196"/>
      <c r="G70" s="196"/>
      <c r="H70" s="196"/>
    </row>
    <row r="71" spans="1:8" x14ac:dyDescent="0.25">
      <c r="A71" s="203" t="s">
        <v>63</v>
      </c>
      <c r="B71" s="203" t="s">
        <v>64</v>
      </c>
      <c r="C71" s="197"/>
      <c r="D71" s="196"/>
      <c r="E71" s="196"/>
      <c r="F71" s="196"/>
      <c r="G71" s="196"/>
      <c r="H71" s="196"/>
    </row>
    <row r="72" spans="1:8" x14ac:dyDescent="0.25">
      <c r="A72" s="203" t="s">
        <v>65</v>
      </c>
      <c r="B72" s="203" t="s">
        <v>66</v>
      </c>
      <c r="C72" s="197"/>
      <c r="D72" s="196"/>
      <c r="E72" s="196"/>
      <c r="F72" s="196"/>
      <c r="G72" s="196"/>
      <c r="H72" s="196"/>
    </row>
    <row r="73" spans="1:8" x14ac:dyDescent="0.25">
      <c r="A73" s="203" t="s">
        <v>67</v>
      </c>
      <c r="B73" s="203" t="s">
        <v>68</v>
      </c>
      <c r="C73" s="197"/>
      <c r="D73" s="196"/>
      <c r="E73" s="196"/>
      <c r="F73" s="196"/>
      <c r="G73" s="196"/>
      <c r="H73" s="196"/>
    </row>
    <row r="74" spans="1:8" x14ac:dyDescent="0.25">
      <c r="A74" s="203" t="s">
        <v>53</v>
      </c>
      <c r="B74" s="203" t="s">
        <v>69</v>
      </c>
      <c r="C74" s="197"/>
      <c r="D74" s="196"/>
      <c r="E74" s="196"/>
      <c r="F74" s="196"/>
      <c r="G74" s="196"/>
      <c r="H74" s="196"/>
    </row>
    <row r="75" spans="1:8" x14ac:dyDescent="0.25">
      <c r="A75" s="203" t="s">
        <v>70</v>
      </c>
      <c r="B75" s="203" t="s">
        <v>71</v>
      </c>
      <c r="C75" s="197"/>
      <c r="D75" s="196"/>
      <c r="E75" s="196"/>
      <c r="F75" s="196"/>
      <c r="G75" s="196"/>
      <c r="H75" s="196"/>
    </row>
    <row r="76" spans="1:8" x14ac:dyDescent="0.25">
      <c r="A76" s="203" t="s">
        <v>54</v>
      </c>
      <c r="B76" s="203" t="s">
        <v>58</v>
      </c>
      <c r="C76" s="197"/>
      <c r="D76" s="196"/>
      <c r="E76" s="196"/>
      <c r="F76" s="196"/>
      <c r="G76" s="196"/>
      <c r="H76" s="196"/>
    </row>
    <row r="77" spans="1:8" x14ac:dyDescent="0.25">
      <c r="A77" s="203" t="s">
        <v>55</v>
      </c>
      <c r="B77" s="203" t="s">
        <v>72</v>
      </c>
      <c r="C77" s="197"/>
      <c r="D77" s="196"/>
      <c r="E77" s="196"/>
      <c r="F77" s="196"/>
      <c r="G77" s="196"/>
      <c r="H77" s="196"/>
    </row>
    <row r="78" spans="1:8" ht="60" x14ac:dyDescent="0.25">
      <c r="A78" s="203" t="s">
        <v>73</v>
      </c>
      <c r="B78" s="208" t="s">
        <v>74</v>
      </c>
      <c r="C78" s="197"/>
      <c r="D78" s="196"/>
      <c r="E78" s="196"/>
      <c r="F78" s="196"/>
      <c r="G78" s="196"/>
      <c r="H78" s="196"/>
    </row>
    <row r="79" spans="1:8" x14ac:dyDescent="0.25">
      <c r="A79" s="203" t="s">
        <v>56</v>
      </c>
      <c r="B79" s="203" t="s">
        <v>75</v>
      </c>
      <c r="C79" s="197"/>
      <c r="D79" s="196"/>
      <c r="E79" s="196"/>
      <c r="F79" s="196"/>
      <c r="G79" s="196"/>
      <c r="H79" s="196"/>
    </row>
    <row r="80" spans="1:8" x14ac:dyDescent="0.25">
      <c r="A80" s="203" t="s">
        <v>76</v>
      </c>
      <c r="B80" s="203" t="s">
        <v>77</v>
      </c>
      <c r="C80" s="197">
        <v>-8727482</v>
      </c>
      <c r="D80" s="196">
        <v>-4801708</v>
      </c>
      <c r="E80" s="196">
        <v>0</v>
      </c>
      <c r="F80" s="196">
        <v>0</v>
      </c>
      <c r="G80" s="196">
        <v>0</v>
      </c>
      <c r="H80" s="196">
        <v>0</v>
      </c>
    </row>
    <row r="81" spans="1:8" ht="15" customHeight="1" x14ac:dyDescent="0.25">
      <c r="A81" s="203" t="s">
        <v>57</v>
      </c>
      <c r="B81" s="203" t="s">
        <v>78</v>
      </c>
      <c r="C81" s="197"/>
      <c r="D81" s="196"/>
      <c r="E81" s="196"/>
      <c r="F81" s="196"/>
      <c r="G81" s="196"/>
      <c r="H81" s="196"/>
    </row>
    <row r="82" spans="1:8" x14ac:dyDescent="0.25">
      <c r="A82" s="198" t="s">
        <v>8</v>
      </c>
      <c r="B82" s="198"/>
      <c r="C82" s="196">
        <v>-8859156</v>
      </c>
      <c r="D82" s="196">
        <f>SUM(D67:D81)</f>
        <v>-4801708</v>
      </c>
      <c r="E82" s="196">
        <f>SUM(E67:E81)</f>
        <v>0</v>
      </c>
      <c r="F82" s="196">
        <f>SUM(F67:F81)</f>
        <v>0</v>
      </c>
      <c r="G82" s="196">
        <f>SUM(G67:G81)</f>
        <v>0</v>
      </c>
      <c r="H82" s="196">
        <f>SUM(H67:H81)</f>
        <v>0</v>
      </c>
    </row>
    <row r="83" spans="1:8" x14ac:dyDescent="0.25">
      <c r="A83" s="198"/>
      <c r="B83" s="198"/>
      <c r="C83" s="197"/>
      <c r="D83" s="196"/>
      <c r="E83" s="196"/>
      <c r="F83" s="196"/>
      <c r="G83" s="196"/>
      <c r="H83" s="196"/>
    </row>
    <row r="84" spans="1:8" s="17" customFormat="1" x14ac:dyDescent="0.25">
      <c r="A84" s="200" t="s">
        <v>125</v>
      </c>
      <c r="B84" s="207" t="s">
        <v>124</v>
      </c>
      <c r="C84" s="199">
        <v>-8859156</v>
      </c>
      <c r="D84" s="201">
        <v>4886708</v>
      </c>
      <c r="E84" s="201">
        <v>254000</v>
      </c>
      <c r="F84" s="201">
        <v>354000</v>
      </c>
      <c r="G84" s="201">
        <v>365000</v>
      </c>
      <c r="H84" s="201">
        <v>365000</v>
      </c>
    </row>
    <row r="85" spans="1:8" x14ac:dyDescent="0.25">
      <c r="A85" s="198"/>
      <c r="B85" s="198"/>
      <c r="C85" s="197"/>
      <c r="D85" s="196"/>
      <c r="E85" s="196"/>
      <c r="F85" s="196"/>
      <c r="G85" s="196"/>
      <c r="H85" s="196"/>
    </row>
    <row r="86" spans="1:8" x14ac:dyDescent="0.25">
      <c r="A86" s="198" t="s">
        <v>152</v>
      </c>
      <c r="B86" s="198"/>
      <c r="C86" s="197"/>
      <c r="D86" s="196"/>
      <c r="E86" s="196"/>
      <c r="F86" s="196"/>
      <c r="G86" s="196"/>
      <c r="H86" s="196"/>
    </row>
    <row r="87" spans="1:8" s="17" customFormat="1" x14ac:dyDescent="0.25">
      <c r="A87" s="206" t="s">
        <v>9</v>
      </c>
      <c r="B87" s="206" t="s">
        <v>80</v>
      </c>
      <c r="C87" s="205">
        <v>8897294</v>
      </c>
      <c r="D87" s="204">
        <v>4825000</v>
      </c>
      <c r="E87" s="204">
        <v>140000</v>
      </c>
      <c r="F87" s="204">
        <v>140000</v>
      </c>
      <c r="G87" s="204">
        <v>160000</v>
      </c>
      <c r="H87" s="204">
        <v>170000</v>
      </c>
    </row>
    <row r="88" spans="1:8" x14ac:dyDescent="0.25">
      <c r="A88" s="203" t="s">
        <v>88</v>
      </c>
      <c r="B88" s="202" t="s">
        <v>81</v>
      </c>
      <c r="C88" s="197"/>
      <c r="D88" s="196"/>
      <c r="E88" s="196"/>
      <c r="F88" s="196"/>
      <c r="G88" s="196"/>
      <c r="H88" s="196"/>
    </row>
    <row r="89" spans="1:8" x14ac:dyDescent="0.25">
      <c r="A89" s="203" t="s">
        <v>88</v>
      </c>
      <c r="B89" s="202" t="s">
        <v>82</v>
      </c>
      <c r="C89" s="197"/>
      <c r="D89" s="196"/>
      <c r="E89" s="196"/>
      <c r="F89" s="196"/>
      <c r="G89" s="196"/>
      <c r="H89" s="196"/>
    </row>
    <row r="90" spans="1:8" x14ac:dyDescent="0.25">
      <c r="A90" s="203" t="s">
        <v>89</v>
      </c>
      <c r="B90" s="202" t="s">
        <v>83</v>
      </c>
      <c r="C90" s="197"/>
      <c r="D90" s="196"/>
      <c r="E90" s="196"/>
      <c r="F90" s="196"/>
      <c r="G90" s="196"/>
      <c r="H90" s="196"/>
    </row>
    <row r="91" spans="1:8" x14ac:dyDescent="0.25">
      <c r="A91" s="203" t="s">
        <v>90</v>
      </c>
      <c r="B91" s="202" t="s">
        <v>84</v>
      </c>
      <c r="C91" s="197"/>
      <c r="D91" s="196"/>
      <c r="E91" s="196"/>
      <c r="F91" s="196"/>
      <c r="G91" s="196"/>
      <c r="H91" s="196"/>
    </row>
    <row r="92" spans="1:8" x14ac:dyDescent="0.25">
      <c r="A92" s="203" t="s">
        <v>79</v>
      </c>
      <c r="B92" s="202" t="s">
        <v>85</v>
      </c>
      <c r="C92" s="197"/>
      <c r="D92" s="196"/>
      <c r="E92" s="196"/>
      <c r="F92" s="196"/>
      <c r="G92" s="196"/>
      <c r="H92" s="196"/>
    </row>
    <row r="93" spans="1:8" x14ac:dyDescent="0.25">
      <c r="A93" s="203" t="s">
        <v>91</v>
      </c>
      <c r="B93" s="202" t="s">
        <v>86</v>
      </c>
      <c r="C93" s="197"/>
      <c r="D93" s="196"/>
      <c r="E93" s="196"/>
      <c r="F93" s="196"/>
      <c r="G93" s="196"/>
      <c r="H93" s="196"/>
    </row>
    <row r="94" spans="1:8" x14ac:dyDescent="0.25">
      <c r="A94" s="203" t="s">
        <v>92</v>
      </c>
      <c r="B94" s="202" t="s">
        <v>87</v>
      </c>
      <c r="C94" s="197"/>
      <c r="D94" s="196"/>
      <c r="E94" s="196"/>
      <c r="F94" s="196"/>
      <c r="G94" s="196"/>
      <c r="H94" s="196"/>
    </row>
    <row r="95" spans="1:8" x14ac:dyDescent="0.25">
      <c r="A95" s="198" t="s">
        <v>10</v>
      </c>
      <c r="B95" s="198"/>
      <c r="C95" s="196">
        <f>SUM(C87:C94)</f>
        <v>8897294</v>
      </c>
      <c r="D95" s="196">
        <f>SUM(D87:D94)</f>
        <v>4825000</v>
      </c>
      <c r="E95" s="196">
        <f>SUM(E87:E94)</f>
        <v>140000</v>
      </c>
      <c r="F95" s="196">
        <f>SUM(F87:F94)</f>
        <v>140000</v>
      </c>
      <c r="G95" s="196">
        <f>SUM(G87:G94)</f>
        <v>160000</v>
      </c>
      <c r="H95" s="196">
        <f>SUM(H87:H94)</f>
        <v>170000</v>
      </c>
    </row>
    <row r="96" spans="1:8" x14ac:dyDescent="0.25">
      <c r="A96" s="198"/>
      <c r="B96" s="198"/>
      <c r="C96" s="197"/>
      <c r="D96" s="196"/>
      <c r="E96" s="196"/>
      <c r="F96" s="196"/>
      <c r="G96" s="196"/>
      <c r="H96" s="196"/>
    </row>
    <row r="97" spans="1:8" s="17" customFormat="1" x14ac:dyDescent="0.25">
      <c r="A97" s="200" t="s">
        <v>121</v>
      </c>
      <c r="B97" s="200" t="s">
        <v>126</v>
      </c>
      <c r="C97" s="199">
        <v>8960818</v>
      </c>
      <c r="D97" s="201">
        <v>4895000</v>
      </c>
      <c r="E97" s="201">
        <v>200000</v>
      </c>
      <c r="F97" s="201">
        <v>200000</v>
      </c>
      <c r="G97" s="201">
        <v>220000</v>
      </c>
      <c r="H97" s="201">
        <v>250000</v>
      </c>
    </row>
    <row r="98" spans="1:8" s="17" customFormat="1" x14ac:dyDescent="0.25">
      <c r="A98" s="200" t="s">
        <v>122</v>
      </c>
      <c r="B98" s="200" t="s">
        <v>127</v>
      </c>
      <c r="C98" s="199">
        <v>5194068</v>
      </c>
      <c r="D98" s="201">
        <v>11623000</v>
      </c>
      <c r="E98" s="201">
        <v>14787000</v>
      </c>
      <c r="F98" s="201">
        <v>14187000</v>
      </c>
      <c r="G98" s="201">
        <v>13478000</v>
      </c>
      <c r="H98" s="201">
        <v>12748000</v>
      </c>
    </row>
    <row r="99" spans="1:8" s="17" customFormat="1" x14ac:dyDescent="0.25">
      <c r="A99" s="200" t="s">
        <v>131</v>
      </c>
      <c r="B99" s="200"/>
      <c r="C99" s="199">
        <v>5295740</v>
      </c>
      <c r="D99" s="201">
        <v>11631292</v>
      </c>
      <c r="E99" s="201">
        <v>14733292</v>
      </c>
      <c r="F99" s="201">
        <v>14033292</v>
      </c>
      <c r="G99" s="201">
        <v>13333292</v>
      </c>
      <c r="H99" s="201">
        <v>12633292</v>
      </c>
    </row>
    <row r="100" spans="1:8" s="17" customFormat="1" x14ac:dyDescent="0.25">
      <c r="A100" s="200" t="s">
        <v>123</v>
      </c>
      <c r="B100" s="200" t="s">
        <v>128</v>
      </c>
      <c r="C100" s="199">
        <f>C97+C98</f>
        <v>14154886</v>
      </c>
      <c r="D100" s="199">
        <f>D97+D98</f>
        <v>16518000</v>
      </c>
      <c r="E100" s="199">
        <f>E97+E98</f>
        <v>14987000</v>
      </c>
      <c r="F100" s="199">
        <f>F97+F98</f>
        <v>14387000</v>
      </c>
      <c r="G100" s="199">
        <f>G97+G98</f>
        <v>13698000</v>
      </c>
      <c r="H100" s="199">
        <f>H97+H98</f>
        <v>12998000</v>
      </c>
    </row>
    <row r="101" spans="1:8" x14ac:dyDescent="0.25">
      <c r="A101" s="198"/>
      <c r="B101" s="198"/>
      <c r="C101" s="197"/>
      <c r="D101" s="196"/>
      <c r="E101" s="196"/>
      <c r="F101" s="196"/>
      <c r="G101" s="196"/>
      <c r="H101" s="196"/>
    </row>
    <row r="102" spans="1:8" x14ac:dyDescent="0.25">
      <c r="A102" s="195" t="s">
        <v>11</v>
      </c>
      <c r="B102" s="195"/>
      <c r="C102" s="194">
        <f>C82+C95</f>
        <v>38138</v>
      </c>
      <c r="D102" s="194">
        <f>D82+D95</f>
        <v>23292</v>
      </c>
      <c r="E102" s="194">
        <f>E82+E95</f>
        <v>140000</v>
      </c>
      <c r="F102" s="194">
        <f>F82+F95</f>
        <v>140000</v>
      </c>
      <c r="G102" s="194">
        <f>G82+G95</f>
        <v>160000</v>
      </c>
      <c r="H102" s="194">
        <f>H82+H95</f>
        <v>170000</v>
      </c>
    </row>
    <row r="103" spans="1:8" x14ac:dyDescent="0.25">
      <c r="A103" s="193" t="s">
        <v>3</v>
      </c>
      <c r="B103" s="193"/>
      <c r="C103" s="192">
        <f>C102/C16</f>
        <v>2.2282322601150633E-2</v>
      </c>
      <c r="D103" s="192">
        <f>D102/D16</f>
        <v>1.3163858730975081E-2</v>
      </c>
      <c r="E103" s="192">
        <f>E102/E16</f>
        <v>7.3107049608355096E-2</v>
      </c>
      <c r="F103" s="192">
        <f>F102/F16</f>
        <v>6.5481758652946684E-2</v>
      </c>
      <c r="G103" s="192">
        <f>G102/G16</f>
        <v>7.376671277086215E-2</v>
      </c>
      <c r="H103" s="192">
        <f>H102/H16</f>
        <v>7.7132486388384755E-2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ht="30" x14ac:dyDescent="0.25">
      <c r="A123" s="31" t="s">
        <v>158</v>
      </c>
      <c r="B123" s="12" t="s">
        <v>333</v>
      </c>
    </row>
    <row r="124" spans="1:8" x14ac:dyDescent="0.25">
      <c r="B124" s="14" t="s">
        <v>332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hyperlinks>
    <hyperlink ref="B124" r:id="rId1"/>
  </hyperlinks>
  <pageMargins left="0.22" right="0.16" top="0.32" bottom="0.19" header="0.31496062992125984" footer="0.17"/>
  <pageSetup paperSize="9" scale="44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ColWidth="8.85546875"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8.85546875" style="32"/>
  </cols>
  <sheetData>
    <row r="1" spans="1:8" ht="30" x14ac:dyDescent="0.25">
      <c r="A1" s="34" t="s">
        <v>159</v>
      </c>
      <c r="B1" s="31" t="s">
        <v>337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217" t="s">
        <v>157</v>
      </c>
      <c r="B4" s="217" t="s">
        <v>12</v>
      </c>
      <c r="C4" s="215">
        <v>2015</v>
      </c>
      <c r="D4" s="216">
        <v>2016</v>
      </c>
      <c r="E4" s="216">
        <v>2017</v>
      </c>
      <c r="F4" s="216">
        <v>2018</v>
      </c>
      <c r="G4" s="216">
        <v>2019</v>
      </c>
      <c r="H4" s="216">
        <v>2020</v>
      </c>
    </row>
    <row r="5" spans="1:8" x14ac:dyDescent="0.25">
      <c r="A5" s="215"/>
      <c r="B5" s="215"/>
      <c r="C5" s="214"/>
      <c r="D5" s="196"/>
      <c r="E5" s="196"/>
      <c r="F5" s="196"/>
      <c r="G5" s="196"/>
      <c r="H5" s="196"/>
    </row>
    <row r="6" spans="1:8" x14ac:dyDescent="0.25">
      <c r="A6" s="198" t="s">
        <v>49</v>
      </c>
      <c r="B6" s="198"/>
      <c r="C6" s="197"/>
      <c r="D6" s="196"/>
      <c r="E6" s="196"/>
      <c r="F6" s="196"/>
      <c r="G6" s="196"/>
      <c r="H6" s="196"/>
    </row>
    <row r="7" spans="1:8" x14ac:dyDescent="0.25">
      <c r="A7" s="203" t="s">
        <v>13</v>
      </c>
      <c r="B7" s="203" t="s">
        <v>25</v>
      </c>
      <c r="C7" s="197"/>
      <c r="D7" s="196"/>
      <c r="E7" s="196"/>
      <c r="F7" s="196"/>
      <c r="G7" s="196"/>
      <c r="H7" s="196"/>
    </row>
    <row r="8" spans="1:8" x14ac:dyDescent="0.25">
      <c r="A8" s="203" t="s">
        <v>26</v>
      </c>
      <c r="B8" s="203" t="s">
        <v>27</v>
      </c>
      <c r="C8" s="197"/>
      <c r="D8" s="196"/>
      <c r="E8" s="196"/>
      <c r="F8" s="196"/>
      <c r="G8" s="196"/>
      <c r="H8" s="196"/>
    </row>
    <row r="9" spans="1:8" x14ac:dyDescent="0.25">
      <c r="A9" s="203" t="s">
        <v>28</v>
      </c>
      <c r="B9" s="203" t="s">
        <v>14</v>
      </c>
      <c r="C9" s="197"/>
      <c r="D9" s="196"/>
      <c r="E9" s="196"/>
      <c r="F9" s="196"/>
      <c r="G9" s="196"/>
      <c r="H9" s="196"/>
    </row>
    <row r="10" spans="1:8" x14ac:dyDescent="0.25">
      <c r="A10" s="203" t="s">
        <v>15</v>
      </c>
      <c r="B10" s="203" t="s">
        <v>29</v>
      </c>
      <c r="C10" s="197">
        <v>120845</v>
      </c>
      <c r="D10" s="196">
        <v>119910</v>
      </c>
      <c r="E10" s="196">
        <v>122545</v>
      </c>
      <c r="F10" s="196">
        <v>122545</v>
      </c>
      <c r="G10" s="196">
        <v>125312</v>
      </c>
      <c r="H10" s="196">
        <v>125312</v>
      </c>
    </row>
    <row r="11" spans="1:8" x14ac:dyDescent="0.25">
      <c r="A11" s="203" t="s">
        <v>16</v>
      </c>
      <c r="B11" s="203" t="s">
        <v>30</v>
      </c>
      <c r="C11" s="197">
        <v>6000</v>
      </c>
      <c r="D11" s="196"/>
      <c r="E11" s="196"/>
      <c r="F11" s="196"/>
      <c r="G11" s="196"/>
      <c r="H11" s="196"/>
    </row>
    <row r="12" spans="1:8" x14ac:dyDescent="0.25">
      <c r="A12" s="203" t="s">
        <v>31</v>
      </c>
      <c r="B12" s="203" t="s">
        <v>32</v>
      </c>
      <c r="C12" s="197"/>
      <c r="D12" s="196"/>
      <c r="E12" s="196"/>
      <c r="F12" s="196"/>
      <c r="G12" s="196"/>
      <c r="H12" s="196"/>
    </row>
    <row r="13" spans="1:8" x14ac:dyDescent="0.25">
      <c r="A13" s="203" t="s">
        <v>17</v>
      </c>
      <c r="B13" s="203" t="s">
        <v>33</v>
      </c>
      <c r="C13" s="197"/>
      <c r="D13" s="196"/>
      <c r="E13" s="196"/>
      <c r="F13" s="196"/>
      <c r="G13" s="196"/>
      <c r="H13" s="196"/>
    </row>
    <row r="14" spans="1:8" x14ac:dyDescent="0.25">
      <c r="A14" s="203" t="s">
        <v>18</v>
      </c>
      <c r="B14" s="203" t="s">
        <v>34</v>
      </c>
      <c r="C14" s="197"/>
      <c r="D14" s="196"/>
      <c r="E14" s="196"/>
      <c r="F14" s="196"/>
      <c r="G14" s="196"/>
      <c r="H14" s="196"/>
    </row>
    <row r="15" spans="1:8" x14ac:dyDescent="0.25">
      <c r="A15" s="203" t="s">
        <v>35</v>
      </c>
      <c r="B15" s="203" t="s">
        <v>36</v>
      </c>
      <c r="C15" s="205">
        <v>66</v>
      </c>
      <c r="D15" s="196"/>
      <c r="E15" s="196"/>
      <c r="F15" s="196"/>
      <c r="G15" s="196"/>
      <c r="H15" s="196"/>
    </row>
    <row r="16" spans="1:8" x14ac:dyDescent="0.25">
      <c r="A16" s="198" t="s">
        <v>0</v>
      </c>
      <c r="B16" s="198"/>
      <c r="C16" s="196">
        <f>SUM(C7:C15)</f>
        <v>126911</v>
      </c>
      <c r="D16" s="196">
        <f>SUM(D7:D15)</f>
        <v>119910</v>
      </c>
      <c r="E16" s="196">
        <f>SUM(E7:E15)</f>
        <v>122545</v>
      </c>
      <c r="F16" s="196">
        <f>SUM(F7:F15)</f>
        <v>122545</v>
      </c>
      <c r="G16" s="196">
        <f>SUM(G7:G15)</f>
        <v>125312</v>
      </c>
      <c r="H16" s="196">
        <f>SUM(H7:H15)</f>
        <v>125312</v>
      </c>
    </row>
    <row r="17" spans="1:8" x14ac:dyDescent="0.25">
      <c r="A17" s="203"/>
      <c r="B17" s="203"/>
      <c r="C17" s="196"/>
      <c r="D17" s="196"/>
      <c r="E17" s="196"/>
      <c r="F17" s="196"/>
      <c r="G17" s="196"/>
      <c r="H17" s="196"/>
    </row>
    <row r="18" spans="1:8" s="17" customFormat="1" x14ac:dyDescent="0.25">
      <c r="A18" s="207" t="s">
        <v>132</v>
      </c>
      <c r="B18" s="207"/>
      <c r="C18" s="201">
        <v>126911</v>
      </c>
      <c r="D18" s="201">
        <v>119910</v>
      </c>
      <c r="E18" s="201">
        <v>122545</v>
      </c>
      <c r="F18" s="201">
        <v>122545</v>
      </c>
      <c r="G18" s="201">
        <v>125312</v>
      </c>
      <c r="H18" s="201">
        <v>125312</v>
      </c>
    </row>
    <row r="19" spans="1:8" s="17" customFormat="1" x14ac:dyDescent="0.25">
      <c r="A19" s="207" t="s">
        <v>147</v>
      </c>
      <c r="B19" s="207" t="s">
        <v>115</v>
      </c>
      <c r="C19" s="201"/>
      <c r="D19" s="201"/>
      <c r="E19" s="201"/>
      <c r="F19" s="201"/>
      <c r="G19" s="201"/>
      <c r="H19" s="201"/>
    </row>
    <row r="20" spans="1:8" s="17" customFormat="1" x14ac:dyDescent="0.25">
      <c r="A20" s="207" t="s">
        <v>148</v>
      </c>
      <c r="B20" s="207" t="s">
        <v>117</v>
      </c>
      <c r="C20" s="201">
        <v>126845</v>
      </c>
      <c r="D20" s="201">
        <v>119910</v>
      </c>
      <c r="E20" s="201">
        <v>122545</v>
      </c>
      <c r="F20" s="201">
        <v>122545</v>
      </c>
      <c r="G20" s="201">
        <v>125312</v>
      </c>
      <c r="H20" s="201">
        <v>125312</v>
      </c>
    </row>
    <row r="21" spans="1:8" s="17" customFormat="1" x14ac:dyDescent="0.25">
      <c r="A21" s="207" t="s">
        <v>114</v>
      </c>
      <c r="B21" s="207" t="s">
        <v>116</v>
      </c>
      <c r="C21" s="201">
        <f>C18</f>
        <v>126911</v>
      </c>
      <c r="D21" s="201">
        <f>SUM(D20)</f>
        <v>119910</v>
      </c>
      <c r="E21" s="201">
        <f>SUM(E20)</f>
        <v>122545</v>
      </c>
      <c r="F21" s="201">
        <f>SUM(F20)</f>
        <v>122545</v>
      </c>
      <c r="G21" s="201">
        <f>SUM(G20)</f>
        <v>125312</v>
      </c>
      <c r="H21" s="201">
        <f>SUM(H20)</f>
        <v>125312</v>
      </c>
    </row>
    <row r="22" spans="1:8" x14ac:dyDescent="0.25">
      <c r="A22" s="203"/>
      <c r="B22" s="203"/>
      <c r="C22" s="197"/>
      <c r="D22" s="196"/>
      <c r="E22" s="196"/>
      <c r="F22" s="196"/>
      <c r="G22" s="196"/>
      <c r="H22" s="196"/>
    </row>
    <row r="23" spans="1:8" x14ac:dyDescent="0.25">
      <c r="A23" s="202" t="s">
        <v>149</v>
      </c>
      <c r="B23" s="203"/>
      <c r="C23" s="197"/>
      <c r="D23" s="196"/>
      <c r="E23" s="196"/>
      <c r="F23" s="196"/>
      <c r="G23" s="196"/>
      <c r="H23" s="196"/>
    </row>
    <row r="24" spans="1:8" x14ac:dyDescent="0.25">
      <c r="A24" s="203" t="s">
        <v>19</v>
      </c>
      <c r="B24" s="203" t="s">
        <v>37</v>
      </c>
      <c r="C24" s="197"/>
      <c r="D24" s="196"/>
      <c r="E24" s="196"/>
      <c r="F24" s="196"/>
      <c r="G24" s="196"/>
      <c r="H24" s="196"/>
    </row>
    <row r="25" spans="1:8" x14ac:dyDescent="0.25">
      <c r="A25" s="203" t="s">
        <v>23</v>
      </c>
      <c r="B25" s="203" t="s">
        <v>24</v>
      </c>
      <c r="C25" s="197"/>
      <c r="D25" s="196"/>
      <c r="E25" s="196"/>
      <c r="F25" s="196"/>
      <c r="G25" s="196"/>
      <c r="H25" s="196"/>
    </row>
    <row r="26" spans="1:8" x14ac:dyDescent="0.25">
      <c r="A26" s="203" t="s">
        <v>20</v>
      </c>
      <c r="B26" s="203" t="s">
        <v>38</v>
      </c>
      <c r="C26" s="197"/>
      <c r="D26" s="196"/>
      <c r="E26" s="196"/>
      <c r="F26" s="196"/>
      <c r="G26" s="196"/>
      <c r="H26" s="196"/>
    </row>
    <row r="27" spans="1:8" x14ac:dyDescent="0.25">
      <c r="A27" s="203" t="s">
        <v>21</v>
      </c>
      <c r="B27" s="203" t="s">
        <v>39</v>
      </c>
      <c r="C27" s="197"/>
      <c r="D27" s="196"/>
      <c r="E27" s="196"/>
      <c r="F27" s="196"/>
      <c r="G27" s="196"/>
      <c r="H27" s="196"/>
    </row>
    <row r="28" spans="1:8" x14ac:dyDescent="0.25">
      <c r="A28" s="203" t="s">
        <v>22</v>
      </c>
      <c r="B28" s="203" t="s">
        <v>40</v>
      </c>
      <c r="C28" s="197">
        <f>-70532-59845</f>
        <v>-130377</v>
      </c>
      <c r="D28" s="196">
        <v>-119910</v>
      </c>
      <c r="E28" s="196">
        <v>-122545</v>
      </c>
      <c r="F28" s="196">
        <v>-122545</v>
      </c>
      <c r="G28" s="196">
        <v>-125312</v>
      </c>
      <c r="H28" s="196">
        <v>-125312</v>
      </c>
    </row>
    <row r="29" spans="1:8" x14ac:dyDescent="0.25">
      <c r="A29" s="202" t="s">
        <v>155</v>
      </c>
      <c r="B29" s="202" t="s">
        <v>156</v>
      </c>
      <c r="C29" s="197">
        <v>-59845</v>
      </c>
      <c r="D29" s="196">
        <v>-52709</v>
      </c>
      <c r="E29" s="196">
        <v>-55344</v>
      </c>
      <c r="F29" s="196">
        <v>-55344</v>
      </c>
      <c r="G29" s="196">
        <v>-58111</v>
      </c>
      <c r="H29" s="196">
        <v>-58111</v>
      </c>
    </row>
    <row r="30" spans="1:8" x14ac:dyDescent="0.25">
      <c r="A30" s="203" t="s">
        <v>41</v>
      </c>
      <c r="B30" s="203" t="s">
        <v>42</v>
      </c>
      <c r="C30" s="197">
        <v>-41</v>
      </c>
      <c r="D30" s="196"/>
      <c r="E30" s="196"/>
      <c r="F30" s="196"/>
      <c r="G30" s="196"/>
      <c r="H30" s="196"/>
    </row>
    <row r="31" spans="1:8" x14ac:dyDescent="0.25">
      <c r="A31" s="203" t="s">
        <v>43</v>
      </c>
      <c r="B31" s="203" t="s">
        <v>44</v>
      </c>
      <c r="C31" s="197"/>
      <c r="D31" s="196"/>
      <c r="E31" s="196"/>
      <c r="F31" s="196"/>
      <c r="G31" s="196"/>
      <c r="H31" s="196"/>
    </row>
    <row r="32" spans="1:8" x14ac:dyDescent="0.25">
      <c r="A32" s="203" t="s">
        <v>45</v>
      </c>
      <c r="B32" s="203" t="s">
        <v>46</v>
      </c>
      <c r="C32" s="197"/>
      <c r="D32" s="197"/>
      <c r="E32" s="197"/>
      <c r="F32" s="197"/>
      <c r="G32" s="197"/>
      <c r="H32" s="197"/>
    </row>
    <row r="33" spans="1:8" x14ac:dyDescent="0.25">
      <c r="A33" s="203" t="s">
        <v>47</v>
      </c>
      <c r="B33" s="203" t="s">
        <v>48</v>
      </c>
      <c r="C33" s="197"/>
      <c r="D33" s="197"/>
      <c r="E33" s="197"/>
      <c r="F33" s="197"/>
      <c r="G33" s="197"/>
      <c r="H33" s="197"/>
    </row>
    <row r="34" spans="1:8" x14ac:dyDescent="0.25">
      <c r="A34" s="198" t="s">
        <v>1</v>
      </c>
      <c r="B34" s="198"/>
      <c r="C34" s="196">
        <f>SUM(C24:C28)+SUM(C30:C33)</f>
        <v>-130418</v>
      </c>
      <c r="D34" s="196">
        <f>SUM(D24:D28)+SUM(D30:D33)</f>
        <v>-119910</v>
      </c>
      <c r="E34" s="196">
        <f>SUM(E24:E28)+SUM(E30:E33)</f>
        <v>-122545</v>
      </c>
      <c r="F34" s="196">
        <f>SUM(F24:F28)+SUM(F30:F33)</f>
        <v>-122545</v>
      </c>
      <c r="G34" s="196">
        <f>SUM(G24:G28)+SUM(G30:G33)</f>
        <v>-125312</v>
      </c>
      <c r="H34" s="196">
        <f>SUM(H24:H28)+SUM(H30:H33)</f>
        <v>-125312</v>
      </c>
    </row>
    <row r="35" spans="1:8" x14ac:dyDescent="0.25">
      <c r="A35" s="198"/>
      <c r="B35" s="198"/>
      <c r="C35" s="196"/>
      <c r="D35" s="196"/>
      <c r="E35" s="196"/>
      <c r="F35" s="196"/>
      <c r="G35" s="196"/>
      <c r="H35" s="196"/>
    </row>
    <row r="36" spans="1:8" s="17" customFormat="1" x14ac:dyDescent="0.25">
      <c r="A36" s="200" t="s">
        <v>150</v>
      </c>
      <c r="B36" s="200"/>
      <c r="C36" s="201"/>
      <c r="D36" s="201"/>
      <c r="E36" s="201"/>
      <c r="F36" s="201"/>
      <c r="G36" s="201"/>
      <c r="H36" s="201"/>
    </row>
    <row r="37" spans="1:8" s="17" customFormat="1" x14ac:dyDescent="0.25">
      <c r="A37" s="200" t="s">
        <v>119</v>
      </c>
      <c r="B37" s="200" t="s">
        <v>118</v>
      </c>
      <c r="C37" s="201"/>
      <c r="D37" s="201"/>
      <c r="E37" s="201"/>
      <c r="F37" s="201"/>
      <c r="G37" s="201"/>
      <c r="H37" s="201"/>
    </row>
    <row r="38" spans="1:8" s="17" customFormat="1" x14ac:dyDescent="0.25">
      <c r="A38" s="200" t="s">
        <v>133</v>
      </c>
      <c r="B38" s="200" t="s">
        <v>134</v>
      </c>
      <c r="C38" s="201">
        <v>-130377</v>
      </c>
      <c r="D38" s="201">
        <v>-119910</v>
      </c>
      <c r="E38" s="201">
        <v>-122545</v>
      </c>
      <c r="F38" s="201">
        <v>-122545</v>
      </c>
      <c r="G38" s="201">
        <v>-125312</v>
      </c>
      <c r="H38" s="201">
        <v>-125312</v>
      </c>
    </row>
    <row r="39" spans="1:8" s="17" customFormat="1" x14ac:dyDescent="0.25">
      <c r="A39" s="200" t="s">
        <v>136</v>
      </c>
      <c r="B39" s="200" t="s">
        <v>135</v>
      </c>
      <c r="C39" s="201">
        <v>-41</v>
      </c>
      <c r="D39" s="201">
        <v>0</v>
      </c>
      <c r="E39" s="201">
        <v>0</v>
      </c>
      <c r="F39" s="201">
        <v>0</v>
      </c>
      <c r="G39" s="201">
        <v>0</v>
      </c>
      <c r="H39" s="201">
        <v>0</v>
      </c>
    </row>
    <row r="40" spans="1:8" s="17" customFormat="1" x14ac:dyDescent="0.25">
      <c r="A40" s="200" t="s">
        <v>138</v>
      </c>
      <c r="B40" s="200" t="s">
        <v>120</v>
      </c>
      <c r="C40" s="199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</row>
    <row r="41" spans="1:8" s="17" customFormat="1" x14ac:dyDescent="0.25">
      <c r="A41" s="200" t="s">
        <v>113</v>
      </c>
      <c r="B41" s="200" t="s">
        <v>137</v>
      </c>
      <c r="C41" s="201">
        <f>SUM(C37:C39)</f>
        <v>-130418</v>
      </c>
      <c r="D41" s="201">
        <f>SUM(D37:D39)</f>
        <v>-119910</v>
      </c>
      <c r="E41" s="201">
        <f>SUM(E37:E39)</f>
        <v>-122545</v>
      </c>
      <c r="F41" s="201">
        <f>SUM(F37:F39)</f>
        <v>-122545</v>
      </c>
      <c r="G41" s="201">
        <f>SUM(G37:G39)</f>
        <v>-125312</v>
      </c>
      <c r="H41" s="201">
        <f>SUM(H37:H39)</f>
        <v>-125312</v>
      </c>
    </row>
    <row r="42" spans="1:8" x14ac:dyDescent="0.25">
      <c r="A42" s="198"/>
      <c r="B42" s="198"/>
      <c r="C42" s="197"/>
      <c r="D42" s="196"/>
      <c r="E42" s="196"/>
      <c r="F42" s="196"/>
      <c r="G42" s="196"/>
      <c r="H42" s="196"/>
    </row>
    <row r="43" spans="1:8" x14ac:dyDescent="0.25">
      <c r="A43" s="195" t="s">
        <v>2</v>
      </c>
      <c r="B43" s="195"/>
      <c r="C43" s="194">
        <f>C16+C34</f>
        <v>-3507</v>
      </c>
      <c r="D43" s="194">
        <f>D16+D34</f>
        <v>0</v>
      </c>
      <c r="E43" s="194">
        <f>E16+E34</f>
        <v>0</v>
      </c>
      <c r="F43" s="194">
        <f>F16+F34</f>
        <v>0</v>
      </c>
      <c r="G43" s="194">
        <f>G16+G34</f>
        <v>0</v>
      </c>
      <c r="H43" s="194">
        <f>H16+H34</f>
        <v>0</v>
      </c>
    </row>
    <row r="44" spans="1:8" x14ac:dyDescent="0.25">
      <c r="A44" s="193" t="s">
        <v>3</v>
      </c>
      <c r="B44" s="193"/>
      <c r="C44" s="388">
        <f>C43/C16</f>
        <v>-2.7633538463962933E-2</v>
      </c>
      <c r="D44" s="388">
        <f>D43/D16</f>
        <v>0</v>
      </c>
      <c r="E44" s="388">
        <f>E43/E16</f>
        <v>0</v>
      </c>
      <c r="F44" s="388">
        <f>F43/F16</f>
        <v>0</v>
      </c>
      <c r="G44" s="388">
        <f>G43/G16</f>
        <v>0</v>
      </c>
      <c r="H44" s="388">
        <f>H43/H16</f>
        <v>0</v>
      </c>
    </row>
    <row r="45" spans="1:8" x14ac:dyDescent="0.25">
      <c r="A45" s="193"/>
      <c r="B45" s="193"/>
      <c r="C45" s="211"/>
      <c r="D45" s="211"/>
      <c r="E45" s="211"/>
      <c r="F45" s="211"/>
      <c r="G45" s="211"/>
      <c r="H45" s="211"/>
    </row>
    <row r="46" spans="1:8" s="17" customFormat="1" x14ac:dyDescent="0.25">
      <c r="A46" s="213" t="s">
        <v>130</v>
      </c>
      <c r="B46" s="213" t="s">
        <v>141</v>
      </c>
      <c r="C46" s="212">
        <f>C21+C41</f>
        <v>-3507</v>
      </c>
      <c r="D46" s="212">
        <f>D21+D41</f>
        <v>0</v>
      </c>
      <c r="E46" s="212">
        <f>E21+E41</f>
        <v>0</v>
      </c>
      <c r="F46" s="212">
        <f>F21+F41</f>
        <v>0</v>
      </c>
      <c r="G46" s="212">
        <f>G21+G41</f>
        <v>0</v>
      </c>
      <c r="H46" s="212">
        <f>H21+H41</f>
        <v>0</v>
      </c>
    </row>
    <row r="47" spans="1:8" x14ac:dyDescent="0.25">
      <c r="A47" s="193"/>
      <c r="B47" s="193"/>
      <c r="C47" s="211"/>
      <c r="D47" s="211"/>
      <c r="E47" s="211"/>
      <c r="F47" s="211"/>
      <c r="G47" s="211"/>
      <c r="H47" s="211"/>
    </row>
    <row r="48" spans="1:8" x14ac:dyDescent="0.25">
      <c r="A48" s="198" t="s">
        <v>151</v>
      </c>
      <c r="B48" s="198"/>
      <c r="C48" s="197"/>
      <c r="D48" s="196"/>
      <c r="E48" s="196"/>
      <c r="F48" s="196"/>
      <c r="G48" s="196"/>
      <c r="H48" s="196"/>
    </row>
    <row r="49" spans="1:8" x14ac:dyDescent="0.25">
      <c r="A49" s="202" t="s">
        <v>107</v>
      </c>
      <c r="B49" s="198"/>
      <c r="C49" s="197"/>
      <c r="D49" s="196"/>
      <c r="E49" s="196"/>
      <c r="F49" s="196"/>
      <c r="G49" s="196"/>
      <c r="H49" s="196"/>
    </row>
    <row r="50" spans="1:8" x14ac:dyDescent="0.25">
      <c r="A50" s="202" t="s">
        <v>142</v>
      </c>
      <c r="B50" s="198"/>
      <c r="C50" s="197"/>
      <c r="D50" s="196"/>
      <c r="E50" s="196"/>
      <c r="F50" s="196"/>
      <c r="G50" s="196"/>
      <c r="H50" s="196"/>
    </row>
    <row r="51" spans="1:8" x14ac:dyDescent="0.25">
      <c r="A51" s="202" t="s">
        <v>4</v>
      </c>
      <c r="B51" s="198"/>
      <c r="C51" s="197"/>
      <c r="D51" s="196"/>
      <c r="E51" s="196"/>
      <c r="F51" s="196"/>
      <c r="G51" s="196"/>
      <c r="H51" s="196"/>
    </row>
    <row r="52" spans="1:8" x14ac:dyDescent="0.25">
      <c r="A52" s="202" t="s">
        <v>5</v>
      </c>
      <c r="B52" s="198"/>
      <c r="C52" s="197"/>
      <c r="D52" s="196"/>
      <c r="E52" s="196"/>
      <c r="F52" s="196"/>
      <c r="G52" s="196"/>
      <c r="H52" s="196"/>
    </row>
    <row r="53" spans="1:8" x14ac:dyDescent="0.25">
      <c r="A53" s="202" t="s">
        <v>143</v>
      </c>
      <c r="B53" s="198"/>
      <c r="C53" s="197"/>
      <c r="D53" s="196"/>
      <c r="E53" s="196"/>
      <c r="F53" s="196"/>
      <c r="G53" s="196"/>
      <c r="H53" s="196"/>
    </row>
    <row r="54" spans="1:8" x14ac:dyDescent="0.25">
      <c r="A54" s="202" t="s">
        <v>108</v>
      </c>
      <c r="B54" s="198"/>
      <c r="C54" s="197"/>
      <c r="D54" s="196"/>
      <c r="E54" s="196"/>
      <c r="F54" s="196"/>
      <c r="G54" s="196"/>
      <c r="H54" s="196"/>
    </row>
    <row r="55" spans="1:8" x14ac:dyDescent="0.25">
      <c r="A55" s="202" t="s">
        <v>144</v>
      </c>
      <c r="B55" s="198"/>
      <c r="C55" s="197"/>
      <c r="D55" s="196"/>
      <c r="E55" s="196"/>
      <c r="F55" s="196"/>
      <c r="G55" s="196"/>
      <c r="H55" s="196"/>
    </row>
    <row r="56" spans="1:8" x14ac:dyDescent="0.25">
      <c r="A56" s="202" t="s">
        <v>109</v>
      </c>
      <c r="B56" s="198"/>
      <c r="C56" s="197"/>
      <c r="D56" s="196"/>
      <c r="E56" s="196"/>
      <c r="F56" s="196"/>
      <c r="G56" s="196"/>
      <c r="H56" s="196"/>
    </row>
    <row r="57" spans="1:8" x14ac:dyDescent="0.25">
      <c r="A57" s="202" t="s">
        <v>145</v>
      </c>
      <c r="B57" s="198"/>
      <c r="C57" s="197"/>
      <c r="D57" s="196"/>
      <c r="E57" s="196"/>
      <c r="F57" s="196"/>
      <c r="G57" s="196"/>
      <c r="H57" s="196"/>
    </row>
    <row r="58" spans="1:8" x14ac:dyDescent="0.25">
      <c r="A58" s="202" t="s">
        <v>110</v>
      </c>
      <c r="B58" s="198"/>
      <c r="C58" s="197"/>
      <c r="D58" s="196"/>
      <c r="E58" s="196"/>
      <c r="F58" s="196"/>
      <c r="G58" s="196"/>
      <c r="H58" s="196"/>
    </row>
    <row r="59" spans="1:8" x14ac:dyDescent="0.25">
      <c r="A59" s="202" t="s">
        <v>146</v>
      </c>
      <c r="B59" s="198"/>
      <c r="C59" s="197"/>
      <c r="D59" s="196"/>
      <c r="E59" s="196"/>
      <c r="F59" s="196"/>
      <c r="G59" s="196"/>
      <c r="H59" s="196"/>
    </row>
    <row r="60" spans="1:8" x14ac:dyDescent="0.25">
      <c r="A60" s="202" t="s">
        <v>111</v>
      </c>
      <c r="B60" s="198"/>
      <c r="C60" s="197"/>
      <c r="D60" s="196"/>
      <c r="E60" s="196"/>
      <c r="F60" s="196"/>
      <c r="G60" s="196"/>
      <c r="H60" s="196"/>
    </row>
    <row r="61" spans="1:8" x14ac:dyDescent="0.25">
      <c r="A61" s="202" t="s">
        <v>112</v>
      </c>
      <c r="B61" s="198"/>
      <c r="C61" s="197"/>
      <c r="D61" s="196"/>
      <c r="E61" s="196"/>
      <c r="F61" s="196"/>
      <c r="G61" s="196"/>
      <c r="H61" s="196"/>
    </row>
    <row r="62" spans="1:8" s="17" customFormat="1" x14ac:dyDescent="0.25">
      <c r="A62" s="210" t="s">
        <v>6</v>
      </c>
      <c r="B62" s="210"/>
      <c r="C62" s="204">
        <f>SUM(C49:C61)</f>
        <v>0</v>
      </c>
      <c r="D62" s="204">
        <f>SUM(D49:D61)</f>
        <v>0</v>
      </c>
      <c r="E62" s="204">
        <f>SUM(E49:E61)</f>
        <v>0</v>
      </c>
      <c r="F62" s="204">
        <f>SUM(F49:F61)</f>
        <v>0</v>
      </c>
      <c r="G62" s="204">
        <f>SUM(G49:G61)</f>
        <v>0</v>
      </c>
      <c r="H62" s="204">
        <f>SUM(H49:H61)</f>
        <v>0</v>
      </c>
    </row>
    <row r="63" spans="1:8" s="17" customFormat="1" x14ac:dyDescent="0.25">
      <c r="A63" s="210"/>
      <c r="B63" s="210"/>
      <c r="C63" s="205"/>
      <c r="D63" s="204"/>
      <c r="E63" s="204"/>
      <c r="F63" s="204"/>
      <c r="G63" s="204"/>
      <c r="H63" s="204"/>
    </row>
    <row r="64" spans="1:8" s="17" customFormat="1" x14ac:dyDescent="0.25">
      <c r="A64" s="195" t="s">
        <v>7</v>
      </c>
      <c r="B64" s="195"/>
      <c r="C64" s="194">
        <f>C43+C62</f>
        <v>-3507</v>
      </c>
      <c r="D64" s="194">
        <f>D43+D62</f>
        <v>0</v>
      </c>
      <c r="E64" s="194">
        <f>E43+E62</f>
        <v>0</v>
      </c>
      <c r="F64" s="194">
        <f>F43+F62</f>
        <v>0</v>
      </c>
      <c r="G64" s="194">
        <f>G43+G62</f>
        <v>0</v>
      </c>
      <c r="H64" s="194">
        <f>H43+H62</f>
        <v>0</v>
      </c>
    </row>
    <row r="65" spans="1:8" s="17" customFormat="1" x14ac:dyDescent="0.25">
      <c r="A65" s="210"/>
      <c r="B65" s="210"/>
      <c r="C65" s="205"/>
      <c r="D65" s="204"/>
      <c r="E65" s="204"/>
      <c r="F65" s="204"/>
      <c r="G65" s="204"/>
      <c r="H65" s="204"/>
    </row>
    <row r="66" spans="1:8" s="17" customFormat="1" x14ac:dyDescent="0.25">
      <c r="A66" s="210" t="s">
        <v>93</v>
      </c>
      <c r="B66" s="210"/>
      <c r="C66" s="205"/>
      <c r="D66" s="204"/>
      <c r="E66" s="204"/>
      <c r="F66" s="204"/>
      <c r="G66" s="204"/>
      <c r="H66" s="204"/>
    </row>
    <row r="67" spans="1:8" s="17" customFormat="1" x14ac:dyDescent="0.25">
      <c r="A67" s="209" t="s">
        <v>59</v>
      </c>
      <c r="B67" s="209" t="s">
        <v>50</v>
      </c>
      <c r="C67" s="205"/>
      <c r="D67" s="205"/>
      <c r="E67" s="205"/>
      <c r="F67" s="205"/>
      <c r="G67" s="205"/>
      <c r="H67" s="205"/>
    </row>
    <row r="68" spans="1:8" s="17" customFormat="1" x14ac:dyDescent="0.25">
      <c r="A68" s="209" t="s">
        <v>60</v>
      </c>
      <c r="B68" s="206" t="s">
        <v>129</v>
      </c>
      <c r="C68" s="205"/>
      <c r="D68" s="205"/>
      <c r="E68" s="205"/>
      <c r="F68" s="205"/>
      <c r="G68" s="205"/>
      <c r="H68" s="205"/>
    </row>
    <row r="69" spans="1:8" ht="60" x14ac:dyDescent="0.25">
      <c r="A69" s="203" t="s">
        <v>61</v>
      </c>
      <c r="B69" s="208" t="s">
        <v>51</v>
      </c>
      <c r="C69" s="197"/>
      <c r="D69" s="196"/>
      <c r="E69" s="196"/>
      <c r="F69" s="196"/>
      <c r="G69" s="196"/>
      <c r="H69" s="196"/>
    </row>
    <row r="70" spans="1:8" x14ac:dyDescent="0.25">
      <c r="A70" s="203" t="s">
        <v>52</v>
      </c>
      <c r="B70" s="203" t="s">
        <v>62</v>
      </c>
      <c r="C70" s="197"/>
      <c r="D70" s="196"/>
      <c r="E70" s="196"/>
      <c r="F70" s="196"/>
      <c r="G70" s="196"/>
      <c r="H70" s="196"/>
    </row>
    <row r="71" spans="1:8" x14ac:dyDescent="0.25">
      <c r="A71" s="203" t="s">
        <v>63</v>
      </c>
      <c r="B71" s="203" t="s">
        <v>64</v>
      </c>
      <c r="C71" s="197"/>
      <c r="D71" s="196"/>
      <c r="E71" s="196"/>
      <c r="F71" s="196"/>
      <c r="G71" s="196"/>
      <c r="H71" s="196"/>
    </row>
    <row r="72" spans="1:8" x14ac:dyDescent="0.25">
      <c r="A72" s="203" t="s">
        <v>65</v>
      </c>
      <c r="B72" s="203" t="s">
        <v>66</v>
      </c>
      <c r="C72" s="197"/>
      <c r="D72" s="196"/>
      <c r="E72" s="196"/>
      <c r="F72" s="196"/>
      <c r="G72" s="196"/>
      <c r="H72" s="196"/>
    </row>
    <row r="73" spans="1:8" x14ac:dyDescent="0.25">
      <c r="A73" s="203" t="s">
        <v>67</v>
      </c>
      <c r="B73" s="203" t="s">
        <v>68</v>
      </c>
      <c r="C73" s="197"/>
      <c r="D73" s="196"/>
      <c r="E73" s="196"/>
      <c r="F73" s="196"/>
      <c r="G73" s="196"/>
      <c r="H73" s="196"/>
    </row>
    <row r="74" spans="1:8" x14ac:dyDescent="0.25">
      <c r="A74" s="203" t="s">
        <v>53</v>
      </c>
      <c r="B74" s="203" t="s">
        <v>69</v>
      </c>
      <c r="C74" s="197"/>
      <c r="D74" s="196"/>
      <c r="E74" s="196"/>
      <c r="F74" s="196"/>
      <c r="G74" s="196"/>
      <c r="H74" s="196"/>
    </row>
    <row r="75" spans="1:8" x14ac:dyDescent="0.25">
      <c r="A75" s="203" t="s">
        <v>70</v>
      </c>
      <c r="B75" s="203" t="s">
        <v>71</v>
      </c>
      <c r="C75" s="197"/>
      <c r="D75" s="196"/>
      <c r="E75" s="196"/>
      <c r="F75" s="196"/>
      <c r="G75" s="196"/>
      <c r="H75" s="196"/>
    </row>
    <row r="76" spans="1:8" x14ac:dyDescent="0.25">
      <c r="A76" s="203" t="s">
        <v>54</v>
      </c>
      <c r="B76" s="203" t="s">
        <v>58</v>
      </c>
      <c r="C76" s="197"/>
      <c r="D76" s="196"/>
      <c r="E76" s="196"/>
      <c r="F76" s="196"/>
      <c r="G76" s="196"/>
      <c r="H76" s="196"/>
    </row>
    <row r="77" spans="1:8" x14ac:dyDescent="0.25">
      <c r="A77" s="203" t="s">
        <v>55</v>
      </c>
      <c r="B77" s="203" t="s">
        <v>72</v>
      </c>
      <c r="C77" s="197"/>
      <c r="D77" s="196"/>
      <c r="E77" s="196"/>
      <c r="F77" s="196"/>
      <c r="G77" s="196"/>
      <c r="H77" s="196"/>
    </row>
    <row r="78" spans="1:8" ht="45" x14ac:dyDescent="0.25">
      <c r="A78" s="203" t="s">
        <v>73</v>
      </c>
      <c r="B78" s="208" t="s">
        <v>74</v>
      </c>
      <c r="C78" s="197"/>
      <c r="D78" s="196"/>
      <c r="E78" s="196"/>
      <c r="F78" s="196"/>
      <c r="G78" s="196"/>
      <c r="H78" s="196"/>
    </row>
    <row r="79" spans="1:8" x14ac:dyDescent="0.25">
      <c r="A79" s="203" t="s">
        <v>56</v>
      </c>
      <c r="B79" s="203" t="s">
        <v>75</v>
      </c>
      <c r="C79" s="197"/>
      <c r="D79" s="196"/>
      <c r="E79" s="196"/>
      <c r="F79" s="196"/>
      <c r="G79" s="196"/>
      <c r="H79" s="196"/>
    </row>
    <row r="80" spans="1:8" x14ac:dyDescent="0.25">
      <c r="A80" s="203" t="s">
        <v>76</v>
      </c>
      <c r="B80" s="203" t="s">
        <v>77</v>
      </c>
      <c r="C80" s="197"/>
      <c r="D80" s="196"/>
      <c r="E80" s="196"/>
      <c r="F80" s="196"/>
      <c r="G80" s="196"/>
      <c r="H80" s="196"/>
    </row>
    <row r="81" spans="1:8" ht="15" customHeight="1" x14ac:dyDescent="0.25">
      <c r="A81" s="203" t="s">
        <v>57</v>
      </c>
      <c r="B81" s="203" t="s">
        <v>78</v>
      </c>
      <c r="C81" s="197"/>
      <c r="D81" s="196"/>
      <c r="E81" s="196"/>
      <c r="F81" s="196"/>
      <c r="G81" s="196"/>
      <c r="H81" s="196"/>
    </row>
    <row r="82" spans="1:8" x14ac:dyDescent="0.25">
      <c r="A82" s="198" t="s">
        <v>8</v>
      </c>
      <c r="B82" s="198"/>
      <c r="C82" s="196">
        <f>SUM(C67:C81)</f>
        <v>0</v>
      </c>
      <c r="D82" s="196">
        <f>SUM(D67:D81)</f>
        <v>0</v>
      </c>
      <c r="E82" s="196">
        <f>SUM(E67:E81)</f>
        <v>0</v>
      </c>
      <c r="F82" s="196">
        <f>SUM(F67:F81)</f>
        <v>0</v>
      </c>
      <c r="G82" s="196">
        <f>SUM(G67:G81)</f>
        <v>0</v>
      </c>
      <c r="H82" s="196">
        <f>SUM(H67:H81)</f>
        <v>0</v>
      </c>
    </row>
    <row r="83" spans="1:8" x14ac:dyDescent="0.25">
      <c r="A83" s="198"/>
      <c r="B83" s="198"/>
      <c r="C83" s="197"/>
      <c r="D83" s="196"/>
      <c r="E83" s="196"/>
      <c r="F83" s="196"/>
      <c r="G83" s="196"/>
      <c r="H83" s="196"/>
    </row>
    <row r="84" spans="1:8" s="17" customFormat="1" x14ac:dyDescent="0.25">
      <c r="A84" s="200" t="s">
        <v>125</v>
      </c>
      <c r="B84" s="207" t="s">
        <v>124</v>
      </c>
      <c r="C84" s="199">
        <v>5451</v>
      </c>
      <c r="D84" s="201">
        <v>3000</v>
      </c>
      <c r="E84" s="201">
        <v>3000</v>
      </c>
      <c r="F84" s="201">
        <v>3000</v>
      </c>
      <c r="G84" s="201">
        <v>3000</v>
      </c>
      <c r="H84" s="201">
        <v>3000</v>
      </c>
    </row>
    <row r="85" spans="1:8" x14ac:dyDescent="0.25">
      <c r="A85" s="198"/>
      <c r="B85" s="198"/>
      <c r="C85" s="197"/>
      <c r="D85" s="196"/>
      <c r="E85" s="196"/>
      <c r="F85" s="196"/>
      <c r="G85" s="196"/>
      <c r="H85" s="196"/>
    </row>
    <row r="86" spans="1:8" x14ac:dyDescent="0.25">
      <c r="A86" s="198" t="s">
        <v>152</v>
      </c>
      <c r="B86" s="198"/>
      <c r="C86" s="197"/>
      <c r="D86" s="196"/>
      <c r="E86" s="196"/>
      <c r="F86" s="196"/>
      <c r="G86" s="196"/>
      <c r="H86" s="196"/>
    </row>
    <row r="87" spans="1:8" s="17" customFormat="1" x14ac:dyDescent="0.25">
      <c r="A87" s="206" t="s">
        <v>9</v>
      </c>
      <c r="B87" s="206" t="s">
        <v>80</v>
      </c>
      <c r="C87" s="205">
        <v>-6558</v>
      </c>
      <c r="D87" s="204">
        <v>-7000</v>
      </c>
      <c r="E87" s="204">
        <v>-7000</v>
      </c>
      <c r="F87" s="204">
        <v>-7000</v>
      </c>
      <c r="G87" s="204">
        <v>-7000</v>
      </c>
      <c r="H87" s="204">
        <v>-7000</v>
      </c>
    </row>
    <row r="88" spans="1:8" x14ac:dyDescent="0.25">
      <c r="A88" s="203" t="s">
        <v>88</v>
      </c>
      <c r="B88" s="202" t="s">
        <v>81</v>
      </c>
      <c r="C88" s="197"/>
      <c r="D88" s="196"/>
      <c r="E88" s="196"/>
      <c r="F88" s="196"/>
      <c r="G88" s="196"/>
      <c r="H88" s="196"/>
    </row>
    <row r="89" spans="1:8" x14ac:dyDescent="0.25">
      <c r="A89" s="203" t="s">
        <v>88</v>
      </c>
      <c r="B89" s="202" t="s">
        <v>82</v>
      </c>
      <c r="C89" s="197"/>
      <c r="D89" s="196"/>
      <c r="E89" s="196"/>
      <c r="F89" s="196"/>
      <c r="G89" s="196"/>
      <c r="H89" s="196"/>
    </row>
    <row r="90" spans="1:8" x14ac:dyDescent="0.25">
      <c r="A90" s="203" t="s">
        <v>89</v>
      </c>
      <c r="B90" s="202" t="s">
        <v>83</v>
      </c>
      <c r="C90" s="197"/>
      <c r="D90" s="196"/>
      <c r="E90" s="196"/>
      <c r="F90" s="196"/>
      <c r="G90" s="196"/>
      <c r="H90" s="196"/>
    </row>
    <row r="91" spans="1:8" x14ac:dyDescent="0.25">
      <c r="A91" s="203" t="s">
        <v>90</v>
      </c>
      <c r="B91" s="202" t="s">
        <v>84</v>
      </c>
      <c r="C91" s="197"/>
      <c r="D91" s="196"/>
      <c r="E91" s="196"/>
      <c r="F91" s="196"/>
      <c r="G91" s="196"/>
      <c r="H91" s="196"/>
    </row>
    <row r="92" spans="1:8" x14ac:dyDescent="0.25">
      <c r="A92" s="203" t="s">
        <v>79</v>
      </c>
      <c r="B92" s="202" t="s">
        <v>85</v>
      </c>
      <c r="C92" s="197"/>
      <c r="D92" s="196"/>
      <c r="E92" s="196"/>
      <c r="F92" s="196"/>
      <c r="G92" s="196"/>
      <c r="H92" s="196"/>
    </row>
    <row r="93" spans="1:8" x14ac:dyDescent="0.25">
      <c r="A93" s="203" t="s">
        <v>91</v>
      </c>
      <c r="B93" s="202" t="s">
        <v>86</v>
      </c>
      <c r="C93" s="197"/>
      <c r="D93" s="196"/>
      <c r="E93" s="196"/>
      <c r="F93" s="196"/>
      <c r="G93" s="196"/>
      <c r="H93" s="196"/>
    </row>
    <row r="94" spans="1:8" x14ac:dyDescent="0.25">
      <c r="A94" s="203" t="s">
        <v>92</v>
      </c>
      <c r="B94" s="202" t="s">
        <v>87</v>
      </c>
      <c r="C94" s="197"/>
      <c r="D94" s="196"/>
      <c r="E94" s="196"/>
      <c r="F94" s="196"/>
      <c r="G94" s="196"/>
      <c r="H94" s="196"/>
    </row>
    <row r="95" spans="1:8" x14ac:dyDescent="0.25">
      <c r="A95" s="198" t="s">
        <v>10</v>
      </c>
      <c r="B95" s="198"/>
      <c r="C95" s="196">
        <f>SUM(C87:C94)</f>
        <v>-6558</v>
      </c>
      <c r="D95" s="196">
        <f>SUM(D87:D94)</f>
        <v>-7000</v>
      </c>
      <c r="E95" s="196">
        <f>SUM(E87:E94)</f>
        <v>-7000</v>
      </c>
      <c r="F95" s="196">
        <f>SUM(F87:F94)</f>
        <v>-7000</v>
      </c>
      <c r="G95" s="196">
        <f>SUM(G87:G94)</f>
        <v>-7000</v>
      </c>
      <c r="H95" s="196">
        <f>SUM(H87:H94)</f>
        <v>-7000</v>
      </c>
    </row>
    <row r="96" spans="1:8" x14ac:dyDescent="0.25">
      <c r="A96" s="198"/>
      <c r="B96" s="198"/>
      <c r="C96" s="197"/>
      <c r="D96" s="196"/>
      <c r="E96" s="196"/>
      <c r="F96" s="196"/>
      <c r="G96" s="196"/>
      <c r="H96" s="196"/>
    </row>
    <row r="97" spans="1:8" s="17" customFormat="1" x14ac:dyDescent="0.25">
      <c r="A97" s="200" t="s">
        <v>121</v>
      </c>
      <c r="B97" s="200" t="s">
        <v>126</v>
      </c>
      <c r="C97" s="199">
        <v>11504</v>
      </c>
      <c r="D97" s="201">
        <v>7000</v>
      </c>
      <c r="E97" s="201">
        <v>7000</v>
      </c>
      <c r="F97" s="201">
        <v>7000</v>
      </c>
      <c r="G97" s="201">
        <v>7000</v>
      </c>
      <c r="H97" s="201">
        <v>7000</v>
      </c>
    </row>
    <row r="98" spans="1:8" s="17" customFormat="1" x14ac:dyDescent="0.25">
      <c r="A98" s="200" t="s">
        <v>122</v>
      </c>
      <c r="B98" s="200" t="s">
        <v>127</v>
      </c>
      <c r="C98" s="199">
        <v>0</v>
      </c>
      <c r="D98" s="201">
        <v>0</v>
      </c>
      <c r="E98" s="201">
        <v>0</v>
      </c>
      <c r="F98" s="201">
        <v>0</v>
      </c>
      <c r="G98" s="201">
        <v>0</v>
      </c>
      <c r="H98" s="201">
        <v>0</v>
      </c>
    </row>
    <row r="99" spans="1:8" s="17" customFormat="1" x14ac:dyDescent="0.25">
      <c r="A99" s="200" t="s">
        <v>131</v>
      </c>
      <c r="B99" s="200"/>
      <c r="C99" s="199">
        <v>6053</v>
      </c>
      <c r="D99" s="201">
        <v>6000</v>
      </c>
      <c r="E99" s="201">
        <v>6000</v>
      </c>
      <c r="F99" s="201">
        <v>6000</v>
      </c>
      <c r="G99" s="201">
        <v>6000</v>
      </c>
      <c r="H99" s="201">
        <v>6000</v>
      </c>
    </row>
    <row r="100" spans="1:8" s="17" customFormat="1" x14ac:dyDescent="0.25">
      <c r="A100" s="200" t="s">
        <v>123</v>
      </c>
      <c r="B100" s="200" t="s">
        <v>128</v>
      </c>
      <c r="C100" s="199">
        <f>C97+C98</f>
        <v>11504</v>
      </c>
      <c r="D100" s="199">
        <f>D97+D98</f>
        <v>7000</v>
      </c>
      <c r="E100" s="199">
        <f>E97+E98</f>
        <v>7000</v>
      </c>
      <c r="F100" s="199">
        <v>7000</v>
      </c>
      <c r="G100" s="199">
        <f>G97+G98</f>
        <v>7000</v>
      </c>
      <c r="H100" s="199">
        <f>H97+H98</f>
        <v>7000</v>
      </c>
    </row>
    <row r="101" spans="1:8" x14ac:dyDescent="0.25">
      <c r="A101" s="198"/>
      <c r="B101" s="198"/>
      <c r="C101" s="197"/>
      <c r="D101" s="196"/>
      <c r="E101" s="196"/>
      <c r="F101" s="196"/>
      <c r="G101" s="196"/>
      <c r="H101" s="196"/>
    </row>
    <row r="102" spans="1:8" x14ac:dyDescent="0.25">
      <c r="A102" s="195" t="s">
        <v>11</v>
      </c>
      <c r="B102" s="195"/>
      <c r="C102" s="194">
        <f>C82+C95</f>
        <v>-6558</v>
      </c>
      <c r="D102" s="194">
        <f>D82+D95</f>
        <v>-7000</v>
      </c>
      <c r="E102" s="194">
        <f>E82+E95</f>
        <v>-7000</v>
      </c>
      <c r="F102" s="194">
        <f>F82+F95</f>
        <v>-7000</v>
      </c>
      <c r="G102" s="194">
        <f>G82+G95</f>
        <v>-7000</v>
      </c>
      <c r="H102" s="194">
        <f>H82+H95</f>
        <v>-7000</v>
      </c>
    </row>
    <row r="103" spans="1:8" x14ac:dyDescent="0.25">
      <c r="A103" s="193" t="s">
        <v>3</v>
      </c>
      <c r="B103" s="193"/>
      <c r="C103" s="192">
        <f>C102/C16</f>
        <v>-5.1674007769224102E-2</v>
      </c>
      <c r="D103" s="192">
        <f>D102/D16</f>
        <v>-5.837711617046118E-2</v>
      </c>
      <c r="E103" s="192">
        <f>E102/E16</f>
        <v>-5.7121873597454E-2</v>
      </c>
      <c r="F103" s="192">
        <f>F102/F16</f>
        <v>-5.7121873597454E-2</v>
      </c>
      <c r="G103" s="192">
        <f>G102/G16</f>
        <v>-5.5860572012257408E-2</v>
      </c>
      <c r="H103" s="192">
        <f>H102/H16</f>
        <v>-5.5860572012257408E-2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/>
    </row>
    <row r="124" spans="1:8" x14ac:dyDescent="0.25">
      <c r="A124" s="32" t="s">
        <v>336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67" t="s">
        <v>338</v>
      </c>
      <c r="C1" s="394"/>
    </row>
    <row r="2" spans="1:8" x14ac:dyDescent="0.25">
      <c r="A2" s="30"/>
    </row>
    <row r="3" spans="1:8" x14ac:dyDescent="0.25">
      <c r="A3" s="1" t="s">
        <v>140</v>
      </c>
      <c r="B3" s="1"/>
      <c r="C3" s="1"/>
    </row>
    <row r="4" spans="1:8" x14ac:dyDescent="0.25">
      <c r="A4" s="217" t="s">
        <v>157</v>
      </c>
      <c r="B4" s="217" t="s">
        <v>12</v>
      </c>
      <c r="C4" s="215">
        <v>2015</v>
      </c>
      <c r="D4" s="216">
        <v>2016</v>
      </c>
      <c r="E4" s="216">
        <v>2017</v>
      </c>
      <c r="F4" s="216">
        <v>2018</v>
      </c>
      <c r="G4" s="216">
        <v>2019</v>
      </c>
      <c r="H4" s="216">
        <v>2020</v>
      </c>
    </row>
    <row r="5" spans="1:8" x14ac:dyDescent="0.25">
      <c r="A5" s="215"/>
      <c r="B5" s="215"/>
      <c r="C5" s="214"/>
      <c r="D5" s="196"/>
      <c r="E5" s="196"/>
      <c r="F5" s="196"/>
      <c r="G5" s="196"/>
      <c r="H5" s="196"/>
    </row>
    <row r="6" spans="1:8" x14ac:dyDescent="0.25">
      <c r="A6" s="198" t="s">
        <v>49</v>
      </c>
      <c r="B6" s="198"/>
      <c r="C6" s="197"/>
      <c r="D6" s="196"/>
      <c r="E6" s="196"/>
      <c r="F6" s="196"/>
      <c r="G6" s="196"/>
      <c r="H6" s="196"/>
    </row>
    <row r="7" spans="1:8" x14ac:dyDescent="0.25">
      <c r="A7" s="203" t="s">
        <v>13</v>
      </c>
      <c r="B7" s="203" t="s">
        <v>25</v>
      </c>
      <c r="C7" s="197"/>
      <c r="D7" s="196"/>
      <c r="E7" s="196"/>
      <c r="F7" s="196"/>
      <c r="G7" s="196"/>
      <c r="H7" s="196"/>
    </row>
    <row r="8" spans="1:8" x14ac:dyDescent="0.25">
      <c r="A8" s="203" t="s">
        <v>26</v>
      </c>
      <c r="B8" s="203" t="s">
        <v>27</v>
      </c>
      <c r="C8" s="197">
        <v>13847</v>
      </c>
      <c r="D8" s="196">
        <v>13000</v>
      </c>
      <c r="E8" s="196">
        <v>13000</v>
      </c>
      <c r="F8" s="196">
        <v>13000</v>
      </c>
      <c r="G8" s="196">
        <v>13000</v>
      </c>
      <c r="H8" s="196">
        <v>13000</v>
      </c>
    </row>
    <row r="9" spans="1:8" x14ac:dyDescent="0.25">
      <c r="A9" s="203" t="s">
        <v>28</v>
      </c>
      <c r="B9" s="203" t="s">
        <v>14</v>
      </c>
      <c r="C9" s="197"/>
      <c r="D9" s="196"/>
      <c r="E9" s="196"/>
      <c r="F9" s="196"/>
      <c r="G9" s="196"/>
      <c r="H9" s="196"/>
    </row>
    <row r="10" spans="1:8" x14ac:dyDescent="0.25">
      <c r="A10" s="203" t="s">
        <v>15</v>
      </c>
      <c r="B10" s="203" t="s">
        <v>29</v>
      </c>
      <c r="C10" s="197">
        <v>15940</v>
      </c>
      <c r="D10" s="196">
        <v>8500</v>
      </c>
      <c r="E10" s="196">
        <v>8500</v>
      </c>
      <c r="F10" s="196">
        <v>8500</v>
      </c>
      <c r="G10" s="196">
        <v>8500</v>
      </c>
      <c r="H10" s="196">
        <v>8500</v>
      </c>
    </row>
    <row r="11" spans="1:8" x14ac:dyDescent="0.25">
      <c r="A11" s="203" t="s">
        <v>16</v>
      </c>
      <c r="B11" s="203" t="s">
        <v>30</v>
      </c>
      <c r="C11" s="197"/>
      <c r="D11" s="196"/>
      <c r="E11" s="196"/>
      <c r="F11" s="196"/>
      <c r="G11" s="196"/>
      <c r="H11" s="196"/>
    </row>
    <row r="12" spans="1:8" x14ac:dyDescent="0.25">
      <c r="A12" s="203" t="s">
        <v>31</v>
      </c>
      <c r="B12" s="203" t="s">
        <v>32</v>
      </c>
      <c r="C12" s="197"/>
      <c r="D12" s="196"/>
      <c r="E12" s="196"/>
      <c r="F12" s="196"/>
      <c r="G12" s="196"/>
      <c r="H12" s="196"/>
    </row>
    <row r="13" spans="1:8" x14ac:dyDescent="0.25">
      <c r="A13" s="203" t="s">
        <v>17</v>
      </c>
      <c r="B13" s="203" t="s">
        <v>33</v>
      </c>
      <c r="C13" s="197"/>
      <c r="D13" s="196"/>
      <c r="E13" s="196"/>
      <c r="F13" s="196"/>
      <c r="G13" s="196"/>
      <c r="H13" s="196"/>
    </row>
    <row r="14" spans="1:8" x14ac:dyDescent="0.25">
      <c r="A14" s="203" t="s">
        <v>18</v>
      </c>
      <c r="B14" s="203" t="s">
        <v>34</v>
      </c>
      <c r="C14" s="197"/>
      <c r="D14" s="196"/>
      <c r="E14" s="196"/>
      <c r="F14" s="196"/>
      <c r="G14" s="196"/>
      <c r="H14" s="196"/>
    </row>
    <row r="15" spans="1:8" x14ac:dyDescent="0.25">
      <c r="A15" s="203" t="s">
        <v>35</v>
      </c>
      <c r="B15" s="203" t="s">
        <v>36</v>
      </c>
      <c r="C15" s="197"/>
      <c r="D15" s="196"/>
      <c r="E15" s="196"/>
      <c r="F15" s="196"/>
      <c r="G15" s="196"/>
      <c r="H15" s="196"/>
    </row>
    <row r="16" spans="1:8" x14ac:dyDescent="0.25">
      <c r="A16" s="198" t="s">
        <v>0</v>
      </c>
      <c r="B16" s="198"/>
      <c r="C16" s="196">
        <f>SUM(C7:C15)</f>
        <v>29787</v>
      </c>
      <c r="D16" s="196">
        <f>SUM(D7:D15)</f>
        <v>21500</v>
      </c>
      <c r="E16" s="196">
        <f>SUM(E7:E15)</f>
        <v>21500</v>
      </c>
      <c r="F16" s="196">
        <f>SUM(F7:F15)</f>
        <v>21500</v>
      </c>
      <c r="G16" s="196">
        <f>SUM(G7:G15)</f>
        <v>21500</v>
      </c>
      <c r="H16" s="196">
        <f>SUM(H7:H15)</f>
        <v>21500</v>
      </c>
    </row>
    <row r="17" spans="1:8" x14ac:dyDescent="0.25">
      <c r="A17" s="203"/>
      <c r="B17" s="203"/>
      <c r="C17" s="196"/>
      <c r="D17" s="196"/>
      <c r="E17" s="196"/>
      <c r="F17" s="196"/>
      <c r="G17" s="196"/>
      <c r="H17" s="196"/>
    </row>
    <row r="18" spans="1:8" s="17" customFormat="1" x14ac:dyDescent="0.25">
      <c r="A18" s="207" t="s">
        <v>132</v>
      </c>
      <c r="B18" s="207"/>
      <c r="C18" s="201"/>
      <c r="D18" s="201"/>
      <c r="E18" s="201"/>
      <c r="F18" s="201"/>
      <c r="G18" s="201"/>
      <c r="H18" s="201"/>
    </row>
    <row r="19" spans="1:8" s="17" customFormat="1" x14ac:dyDescent="0.25">
      <c r="A19" s="207" t="s">
        <v>147</v>
      </c>
      <c r="B19" s="207" t="s">
        <v>115</v>
      </c>
      <c r="C19" s="201">
        <v>13847</v>
      </c>
      <c r="D19" s="201">
        <v>13000</v>
      </c>
      <c r="E19" s="201">
        <v>13000</v>
      </c>
      <c r="F19" s="201">
        <v>13000</v>
      </c>
      <c r="G19" s="201">
        <v>13000</v>
      </c>
      <c r="H19" s="201">
        <v>13000</v>
      </c>
    </row>
    <row r="20" spans="1:8" s="17" customFormat="1" x14ac:dyDescent="0.25">
      <c r="A20" s="207" t="s">
        <v>148</v>
      </c>
      <c r="B20" s="207" t="s">
        <v>117</v>
      </c>
      <c r="C20" s="201">
        <v>15940</v>
      </c>
      <c r="D20" s="201">
        <v>8500</v>
      </c>
      <c r="E20" s="201">
        <v>8500</v>
      </c>
      <c r="F20" s="201">
        <v>8500</v>
      </c>
      <c r="G20" s="201">
        <v>8500</v>
      </c>
      <c r="H20" s="201">
        <v>8500</v>
      </c>
    </row>
    <row r="21" spans="1:8" s="17" customFormat="1" x14ac:dyDescent="0.25">
      <c r="A21" s="207" t="s">
        <v>114</v>
      </c>
      <c r="B21" s="207" t="s">
        <v>116</v>
      </c>
      <c r="C21" s="201">
        <f>SUM(C19:C20)</f>
        <v>29787</v>
      </c>
      <c r="D21" s="201">
        <v>21500</v>
      </c>
      <c r="E21" s="201">
        <v>21500</v>
      </c>
      <c r="F21" s="201">
        <v>21500</v>
      </c>
      <c r="G21" s="201">
        <v>21500</v>
      </c>
      <c r="H21" s="201">
        <v>21500</v>
      </c>
    </row>
    <row r="22" spans="1:8" x14ac:dyDescent="0.25">
      <c r="A22" s="203"/>
      <c r="B22" s="203"/>
      <c r="C22" s="197"/>
      <c r="D22" s="196"/>
      <c r="E22" s="196"/>
      <c r="F22" s="196"/>
      <c r="G22" s="196"/>
      <c r="H22" s="196"/>
    </row>
    <row r="23" spans="1:8" x14ac:dyDescent="0.25">
      <c r="A23" s="202" t="s">
        <v>149</v>
      </c>
      <c r="B23" s="203"/>
      <c r="C23" s="197"/>
      <c r="D23" s="196"/>
      <c r="E23" s="196"/>
      <c r="F23" s="196"/>
      <c r="G23" s="196"/>
      <c r="H23" s="196"/>
    </row>
    <row r="24" spans="1:8" x14ac:dyDescent="0.25">
      <c r="A24" s="203" t="s">
        <v>19</v>
      </c>
      <c r="B24" s="203" t="s">
        <v>37</v>
      </c>
      <c r="C24" s="197"/>
      <c r="D24" s="196"/>
      <c r="E24" s="196"/>
      <c r="F24" s="196"/>
      <c r="G24" s="196"/>
      <c r="H24" s="196"/>
    </row>
    <row r="25" spans="1:8" x14ac:dyDescent="0.25">
      <c r="A25" s="203" t="s">
        <v>23</v>
      </c>
      <c r="B25" s="203" t="s">
        <v>24</v>
      </c>
      <c r="C25" s="197"/>
      <c r="D25" s="196"/>
      <c r="E25" s="196"/>
      <c r="F25" s="196"/>
      <c r="G25" s="196"/>
      <c r="H25" s="196"/>
    </row>
    <row r="26" spans="1:8" x14ac:dyDescent="0.25">
      <c r="A26" s="203" t="s">
        <v>20</v>
      </c>
      <c r="B26" s="203" t="s">
        <v>38</v>
      </c>
      <c r="C26" s="197"/>
      <c r="D26" s="196"/>
      <c r="E26" s="196"/>
      <c r="F26" s="196"/>
      <c r="G26" s="196"/>
      <c r="H26" s="196"/>
    </row>
    <row r="27" spans="1:8" x14ac:dyDescent="0.25">
      <c r="A27" s="203" t="s">
        <v>21</v>
      </c>
      <c r="B27" s="203" t="s">
        <v>39</v>
      </c>
      <c r="C27" s="197"/>
      <c r="D27" s="196"/>
      <c r="E27" s="196"/>
      <c r="F27" s="196"/>
      <c r="G27" s="196"/>
      <c r="H27" s="196"/>
    </row>
    <row r="28" spans="1:8" x14ac:dyDescent="0.25">
      <c r="A28" s="203" t="s">
        <v>22</v>
      </c>
      <c r="B28" s="203" t="s">
        <v>40</v>
      </c>
      <c r="C28" s="197">
        <v>-17527</v>
      </c>
      <c r="D28" s="196">
        <v>-17550</v>
      </c>
      <c r="E28" s="196">
        <v>-17550</v>
      </c>
      <c r="F28" s="196">
        <v>-17550</v>
      </c>
      <c r="G28" s="196">
        <v>-17550</v>
      </c>
      <c r="H28" s="196">
        <v>-17550</v>
      </c>
    </row>
    <row r="29" spans="1:8" x14ac:dyDescent="0.25">
      <c r="A29" s="202" t="s">
        <v>155</v>
      </c>
      <c r="B29" s="202" t="s">
        <v>156</v>
      </c>
      <c r="C29" s="197">
        <v>-16419</v>
      </c>
      <c r="D29" s="197">
        <v>-16500</v>
      </c>
      <c r="E29" s="197">
        <v>-16500</v>
      </c>
      <c r="F29" s="197">
        <v>-16500</v>
      </c>
      <c r="G29" s="197">
        <v>-16500</v>
      </c>
      <c r="H29" s="197">
        <v>-16500</v>
      </c>
    </row>
    <row r="30" spans="1:8" x14ac:dyDescent="0.25">
      <c r="A30" s="203" t="s">
        <v>41</v>
      </c>
      <c r="B30" s="203" t="s">
        <v>42</v>
      </c>
      <c r="C30" s="197"/>
      <c r="D30" s="196"/>
      <c r="E30" s="196"/>
      <c r="F30" s="196"/>
      <c r="G30" s="196"/>
      <c r="H30" s="196"/>
    </row>
    <row r="31" spans="1:8" x14ac:dyDescent="0.25">
      <c r="A31" s="203" t="s">
        <v>43</v>
      </c>
      <c r="B31" s="203" t="s">
        <v>44</v>
      </c>
      <c r="C31" s="197"/>
      <c r="D31" s="196"/>
      <c r="E31" s="196"/>
      <c r="F31" s="196"/>
      <c r="G31" s="196"/>
      <c r="H31" s="196"/>
    </row>
    <row r="32" spans="1:8" x14ac:dyDescent="0.25">
      <c r="A32" s="203" t="s">
        <v>45</v>
      </c>
      <c r="B32" s="203" t="s">
        <v>46</v>
      </c>
      <c r="C32" s="197"/>
      <c r="D32" s="197"/>
      <c r="E32" s="197"/>
      <c r="F32" s="197"/>
      <c r="G32" s="197"/>
      <c r="H32" s="197"/>
    </row>
    <row r="33" spans="1:8" x14ac:dyDescent="0.25">
      <c r="A33" s="203" t="s">
        <v>47</v>
      </c>
      <c r="B33" s="203" t="s">
        <v>48</v>
      </c>
      <c r="C33" s="197"/>
      <c r="D33" s="197"/>
      <c r="E33" s="197"/>
      <c r="F33" s="197"/>
      <c r="G33" s="197"/>
      <c r="H33" s="197"/>
    </row>
    <row r="34" spans="1:8" x14ac:dyDescent="0.25">
      <c r="A34" s="198" t="s">
        <v>1</v>
      </c>
      <c r="B34" s="198"/>
      <c r="C34" s="196">
        <f>SUM(C24:C28)+SUM(C30:C33)</f>
        <v>-17527</v>
      </c>
      <c r="D34" s="196">
        <f>SUM(D24:D28)+SUM(D30:D33)</f>
        <v>-17550</v>
      </c>
      <c r="E34" s="196">
        <f>SUM(E24:E28)+SUM(E30:E33)</f>
        <v>-17550</v>
      </c>
      <c r="F34" s="196">
        <f>SUM(F24:F28)+SUM(F30:F33)</f>
        <v>-17550</v>
      </c>
      <c r="G34" s="196">
        <f>SUM(G24:G28)+SUM(G30:G33)</f>
        <v>-17550</v>
      </c>
      <c r="H34" s="196">
        <f>SUM(H24:H28)+SUM(H30:H33)</f>
        <v>-17550</v>
      </c>
    </row>
    <row r="35" spans="1:8" x14ac:dyDescent="0.25">
      <c r="A35" s="198"/>
      <c r="B35" s="198"/>
      <c r="C35" s="196"/>
      <c r="D35" s="196"/>
      <c r="E35" s="196"/>
      <c r="F35" s="196"/>
      <c r="G35" s="196"/>
      <c r="H35" s="196"/>
    </row>
    <row r="36" spans="1:8" s="17" customFormat="1" x14ac:dyDescent="0.25">
      <c r="A36" s="200" t="s">
        <v>150</v>
      </c>
      <c r="B36" s="200"/>
      <c r="C36" s="201"/>
      <c r="D36" s="201"/>
      <c r="E36" s="201"/>
      <c r="F36" s="201"/>
      <c r="G36" s="201"/>
      <c r="H36" s="201"/>
    </row>
    <row r="37" spans="1:8" s="17" customFormat="1" x14ac:dyDescent="0.25">
      <c r="A37" s="200" t="s">
        <v>119</v>
      </c>
      <c r="B37" s="200" t="s">
        <v>118</v>
      </c>
      <c r="C37" s="201"/>
      <c r="D37" s="201"/>
      <c r="E37" s="201"/>
      <c r="F37" s="201"/>
      <c r="G37" s="201"/>
      <c r="H37" s="201"/>
    </row>
    <row r="38" spans="1:8" s="17" customFormat="1" x14ac:dyDescent="0.25">
      <c r="A38" s="200" t="s">
        <v>133</v>
      </c>
      <c r="B38" s="200" t="s">
        <v>134</v>
      </c>
      <c r="C38" s="201">
        <v>-17527</v>
      </c>
      <c r="D38" s="201">
        <v>-17550</v>
      </c>
      <c r="E38" s="201">
        <v>-17550</v>
      </c>
      <c r="F38" s="201">
        <v>-17550</v>
      </c>
      <c r="G38" s="201">
        <v>-17550</v>
      </c>
      <c r="H38" s="201">
        <v>-17550</v>
      </c>
    </row>
    <row r="39" spans="1:8" s="17" customFormat="1" x14ac:dyDescent="0.25">
      <c r="A39" s="200" t="s">
        <v>136</v>
      </c>
      <c r="B39" s="200" t="s">
        <v>135</v>
      </c>
      <c r="C39" s="201">
        <v>-114488</v>
      </c>
      <c r="D39" s="201">
        <v>-114488</v>
      </c>
      <c r="E39" s="201">
        <v>-100000</v>
      </c>
      <c r="F39" s="201">
        <v>-95000</v>
      </c>
      <c r="G39" s="201">
        <v>-90000</v>
      </c>
      <c r="H39" s="201">
        <v>-85000</v>
      </c>
    </row>
    <row r="40" spans="1:8" s="17" customFormat="1" x14ac:dyDescent="0.25">
      <c r="A40" s="200" t="s">
        <v>138</v>
      </c>
      <c r="B40" s="200" t="s">
        <v>120</v>
      </c>
      <c r="C40" s="199">
        <v>-114488</v>
      </c>
      <c r="D40" s="201">
        <v>-114488</v>
      </c>
      <c r="E40" s="201">
        <v>-100000</v>
      </c>
      <c r="F40" s="201">
        <v>-95000</v>
      </c>
      <c r="G40" s="201">
        <v>-90000</v>
      </c>
      <c r="H40" s="201">
        <v>-85000</v>
      </c>
    </row>
    <row r="41" spans="1:8" s="17" customFormat="1" x14ac:dyDescent="0.25">
      <c r="A41" s="200" t="s">
        <v>113</v>
      </c>
      <c r="B41" s="200" t="s">
        <v>137</v>
      </c>
      <c r="C41" s="201">
        <f>SUM(C37:C39)</f>
        <v>-132015</v>
      </c>
      <c r="D41" s="201">
        <f>SUM(D37:D39)</f>
        <v>-132038</v>
      </c>
      <c r="E41" s="201">
        <f>SUM(E37:E39)</f>
        <v>-117550</v>
      </c>
      <c r="F41" s="201">
        <f>SUM(F37:F39)</f>
        <v>-112550</v>
      </c>
      <c r="G41" s="201">
        <f>SUM(G37:G39)</f>
        <v>-107550</v>
      </c>
      <c r="H41" s="201">
        <f>SUM(H37:H39)</f>
        <v>-102550</v>
      </c>
    </row>
    <row r="42" spans="1:8" x14ac:dyDescent="0.25">
      <c r="A42" s="198"/>
      <c r="B42" s="198"/>
      <c r="C42" s="197"/>
      <c r="D42" s="196"/>
      <c r="E42" s="196"/>
      <c r="F42" s="196"/>
      <c r="G42" s="196"/>
      <c r="H42" s="196"/>
    </row>
    <row r="43" spans="1:8" x14ac:dyDescent="0.25">
      <c r="A43" s="195" t="s">
        <v>2</v>
      </c>
      <c r="B43" s="195"/>
      <c r="C43" s="194">
        <f>C16+C34</f>
        <v>12260</v>
      </c>
      <c r="D43" s="194">
        <f>D16+D34</f>
        <v>3950</v>
      </c>
      <c r="E43" s="194">
        <f>E16+E34</f>
        <v>3950</v>
      </c>
      <c r="F43" s="194">
        <f>F16+F34</f>
        <v>3950</v>
      </c>
      <c r="G43" s="194">
        <f>G16+G34</f>
        <v>3950</v>
      </c>
      <c r="H43" s="194">
        <f>H16+H34</f>
        <v>3950</v>
      </c>
    </row>
    <row r="44" spans="1:8" x14ac:dyDescent="0.25">
      <c r="A44" s="193" t="s">
        <v>3</v>
      </c>
      <c r="B44" s="193"/>
      <c r="C44" s="192">
        <f>C43/C16</f>
        <v>0.4115889481988787</v>
      </c>
      <c r="D44" s="192">
        <f>D43/D16</f>
        <v>0.18372093023255814</v>
      </c>
      <c r="E44" s="192">
        <f>E43/E16</f>
        <v>0.18372093023255814</v>
      </c>
      <c r="F44" s="192">
        <f>F43/F16</f>
        <v>0.18372093023255814</v>
      </c>
      <c r="G44" s="192">
        <f>G43/G16</f>
        <v>0.18372093023255814</v>
      </c>
      <c r="H44" s="192">
        <f>H43/H16</f>
        <v>0.18372093023255814</v>
      </c>
    </row>
    <row r="45" spans="1:8" x14ac:dyDescent="0.25">
      <c r="A45" s="193"/>
      <c r="B45" s="193"/>
      <c r="C45" s="192"/>
      <c r="D45" s="192"/>
      <c r="E45" s="192"/>
      <c r="F45" s="192"/>
      <c r="G45" s="192"/>
      <c r="H45" s="192"/>
    </row>
    <row r="46" spans="1:8" s="17" customFormat="1" x14ac:dyDescent="0.25">
      <c r="A46" s="213" t="s">
        <v>130</v>
      </c>
      <c r="B46" s="213" t="s">
        <v>141</v>
      </c>
      <c r="C46" s="212">
        <f>C21+C41</f>
        <v>-102228</v>
      </c>
      <c r="D46" s="212">
        <f>D21+D41</f>
        <v>-110538</v>
      </c>
      <c r="E46" s="212">
        <f>E21+E41</f>
        <v>-96050</v>
      </c>
      <c r="F46" s="212">
        <f>F21+F41</f>
        <v>-91050</v>
      </c>
      <c r="G46" s="212">
        <f>G21+G41</f>
        <v>-86050</v>
      </c>
      <c r="H46" s="212">
        <f>H21+H41</f>
        <v>-81050</v>
      </c>
    </row>
    <row r="47" spans="1:8" x14ac:dyDescent="0.25">
      <c r="A47" s="193"/>
      <c r="B47" s="193"/>
      <c r="C47" s="211"/>
      <c r="D47" s="211"/>
      <c r="E47" s="211"/>
      <c r="F47" s="211"/>
      <c r="G47" s="211"/>
      <c r="H47" s="211"/>
    </row>
    <row r="48" spans="1:8" x14ac:dyDescent="0.25">
      <c r="A48" s="198" t="s">
        <v>151</v>
      </c>
      <c r="B48" s="198"/>
      <c r="C48" s="197"/>
      <c r="D48" s="196"/>
      <c r="E48" s="196"/>
      <c r="F48" s="196"/>
      <c r="G48" s="196"/>
      <c r="H48" s="196"/>
    </row>
    <row r="49" spans="1:8" x14ac:dyDescent="0.25">
      <c r="A49" s="202" t="s">
        <v>107</v>
      </c>
      <c r="B49" s="198"/>
      <c r="C49" s="197"/>
      <c r="D49" s="196"/>
      <c r="E49" s="196"/>
      <c r="F49" s="196"/>
      <c r="G49" s="196"/>
      <c r="H49" s="196"/>
    </row>
    <row r="50" spans="1:8" x14ac:dyDescent="0.25">
      <c r="A50" s="202" t="s">
        <v>142</v>
      </c>
      <c r="B50" s="198"/>
      <c r="C50" s="197"/>
      <c r="D50" s="196"/>
      <c r="E50" s="196"/>
      <c r="F50" s="196"/>
      <c r="G50" s="196"/>
      <c r="H50" s="196"/>
    </row>
    <row r="51" spans="1:8" x14ac:dyDescent="0.25">
      <c r="A51" s="202" t="s">
        <v>4</v>
      </c>
      <c r="B51" s="198"/>
      <c r="C51" s="197"/>
      <c r="D51" s="196"/>
      <c r="E51" s="196"/>
      <c r="F51" s="196"/>
      <c r="G51" s="196"/>
      <c r="H51" s="196"/>
    </row>
    <row r="52" spans="1:8" x14ac:dyDescent="0.25">
      <c r="A52" s="202" t="s">
        <v>5</v>
      </c>
      <c r="B52" s="198"/>
      <c r="C52" s="197"/>
      <c r="D52" s="196"/>
      <c r="E52" s="196"/>
      <c r="F52" s="196"/>
      <c r="G52" s="196"/>
      <c r="H52" s="196"/>
    </row>
    <row r="53" spans="1:8" x14ac:dyDescent="0.25">
      <c r="A53" s="202" t="s">
        <v>143</v>
      </c>
      <c r="B53" s="198"/>
      <c r="C53" s="197"/>
      <c r="D53" s="196"/>
      <c r="E53" s="196"/>
      <c r="F53" s="196"/>
      <c r="G53" s="196"/>
      <c r="H53" s="196"/>
    </row>
    <row r="54" spans="1:8" x14ac:dyDescent="0.25">
      <c r="A54" s="202" t="s">
        <v>108</v>
      </c>
      <c r="B54" s="198"/>
      <c r="C54" s="197"/>
      <c r="D54" s="196"/>
      <c r="E54" s="196"/>
      <c r="F54" s="196"/>
      <c r="G54" s="196"/>
      <c r="H54" s="196"/>
    </row>
    <row r="55" spans="1:8" x14ac:dyDescent="0.25">
      <c r="A55" s="202" t="s">
        <v>144</v>
      </c>
      <c r="B55" s="198"/>
      <c r="C55" s="197"/>
      <c r="D55" s="196"/>
      <c r="E55" s="196"/>
      <c r="F55" s="196"/>
      <c r="G55" s="196"/>
      <c r="H55" s="196"/>
    </row>
    <row r="56" spans="1:8" x14ac:dyDescent="0.25">
      <c r="A56" s="202" t="s">
        <v>109</v>
      </c>
      <c r="B56" s="198"/>
      <c r="C56" s="197"/>
      <c r="D56" s="196"/>
      <c r="E56" s="196"/>
      <c r="F56" s="196"/>
      <c r="G56" s="196"/>
      <c r="H56" s="196"/>
    </row>
    <row r="57" spans="1:8" x14ac:dyDescent="0.25">
      <c r="A57" s="202" t="s">
        <v>145</v>
      </c>
      <c r="B57" s="198"/>
      <c r="C57" s="197"/>
      <c r="D57" s="196"/>
      <c r="E57" s="196"/>
      <c r="F57" s="196"/>
      <c r="G57" s="196"/>
      <c r="H57" s="196"/>
    </row>
    <row r="58" spans="1:8" x14ac:dyDescent="0.25">
      <c r="A58" s="202" t="s">
        <v>110</v>
      </c>
      <c r="B58" s="198"/>
      <c r="C58" s="197"/>
      <c r="D58" s="196"/>
      <c r="E58" s="196"/>
      <c r="F58" s="196"/>
      <c r="G58" s="196"/>
      <c r="H58" s="196"/>
    </row>
    <row r="59" spans="1:8" x14ac:dyDescent="0.25">
      <c r="A59" s="202" t="s">
        <v>146</v>
      </c>
      <c r="B59" s="198"/>
      <c r="C59" s="197"/>
      <c r="D59" s="196"/>
      <c r="E59" s="196"/>
      <c r="F59" s="196"/>
      <c r="G59" s="196"/>
      <c r="H59" s="196"/>
    </row>
    <row r="60" spans="1:8" x14ac:dyDescent="0.25">
      <c r="A60" s="202" t="s">
        <v>111</v>
      </c>
      <c r="B60" s="198"/>
      <c r="C60" s="197">
        <v>12</v>
      </c>
      <c r="D60" s="196">
        <v>10</v>
      </c>
      <c r="E60" s="196">
        <v>10</v>
      </c>
      <c r="F60" s="196">
        <v>10</v>
      </c>
      <c r="G60" s="196">
        <v>10</v>
      </c>
      <c r="H60" s="196">
        <v>10</v>
      </c>
    </row>
    <row r="61" spans="1:8" x14ac:dyDescent="0.25">
      <c r="A61" s="202" t="s">
        <v>112</v>
      </c>
      <c r="B61" s="198"/>
      <c r="C61" s="197"/>
      <c r="D61" s="196"/>
      <c r="E61" s="196"/>
      <c r="F61" s="196"/>
      <c r="G61" s="196"/>
      <c r="H61" s="196"/>
    </row>
    <row r="62" spans="1:8" s="17" customFormat="1" x14ac:dyDescent="0.25">
      <c r="A62" s="210" t="s">
        <v>6</v>
      </c>
      <c r="B62" s="210"/>
      <c r="C62" s="204">
        <f>SUM(C49:C61)</f>
        <v>12</v>
      </c>
      <c r="D62" s="204">
        <f>SUM(D49:D61)</f>
        <v>10</v>
      </c>
      <c r="E62" s="204">
        <f>SUM(E49:E61)</f>
        <v>10</v>
      </c>
      <c r="F62" s="204">
        <f>SUM(F49:F61)</f>
        <v>10</v>
      </c>
      <c r="G62" s="204">
        <f>SUM(G49:G61)</f>
        <v>10</v>
      </c>
      <c r="H62" s="204">
        <f>SUM(H49:H61)</f>
        <v>10</v>
      </c>
    </row>
    <row r="63" spans="1:8" s="17" customFormat="1" x14ac:dyDescent="0.25">
      <c r="A63" s="210"/>
      <c r="B63" s="210"/>
      <c r="C63" s="205"/>
      <c r="D63" s="204"/>
      <c r="E63" s="204"/>
      <c r="F63" s="204"/>
      <c r="G63" s="204"/>
      <c r="H63" s="204"/>
    </row>
    <row r="64" spans="1:8" s="17" customFormat="1" x14ac:dyDescent="0.25">
      <c r="A64" s="195" t="s">
        <v>7</v>
      </c>
      <c r="B64" s="195"/>
      <c r="C64" s="194">
        <f>C43+C62</f>
        <v>12272</v>
      </c>
      <c r="D64" s="194">
        <f>D43+D62</f>
        <v>3960</v>
      </c>
      <c r="E64" s="194">
        <f>E43+E62</f>
        <v>3960</v>
      </c>
      <c r="F64" s="194">
        <f>F43+F62</f>
        <v>3960</v>
      </c>
      <c r="G64" s="194">
        <f>G43+G62</f>
        <v>3960</v>
      </c>
      <c r="H64" s="194">
        <f>H43+H62</f>
        <v>3960</v>
      </c>
    </row>
    <row r="65" spans="1:8" s="17" customFormat="1" x14ac:dyDescent="0.25">
      <c r="A65" s="210"/>
      <c r="B65" s="210"/>
      <c r="C65" s="205"/>
      <c r="D65" s="204"/>
      <c r="E65" s="204"/>
      <c r="F65" s="204"/>
      <c r="G65" s="204"/>
      <c r="H65" s="204"/>
    </row>
    <row r="66" spans="1:8" s="17" customFormat="1" x14ac:dyDescent="0.25">
      <c r="A66" s="210" t="s">
        <v>93</v>
      </c>
      <c r="B66" s="210"/>
      <c r="C66" s="205"/>
      <c r="D66" s="204"/>
      <c r="E66" s="204"/>
      <c r="F66" s="204"/>
      <c r="G66" s="204"/>
      <c r="H66" s="204"/>
    </row>
    <row r="67" spans="1:8" s="17" customFormat="1" x14ac:dyDescent="0.25">
      <c r="A67" s="209" t="s">
        <v>59</v>
      </c>
      <c r="B67" s="209" t="s">
        <v>50</v>
      </c>
      <c r="C67" s="205"/>
      <c r="D67" s="205"/>
      <c r="E67" s="205"/>
      <c r="F67" s="205"/>
      <c r="G67" s="205"/>
      <c r="H67" s="205"/>
    </row>
    <row r="68" spans="1:8" s="17" customFormat="1" x14ac:dyDescent="0.25">
      <c r="A68" s="209" t="s">
        <v>60</v>
      </c>
      <c r="B68" s="206" t="s">
        <v>129</v>
      </c>
      <c r="C68" s="205"/>
      <c r="D68" s="205"/>
      <c r="E68" s="205"/>
      <c r="F68" s="205"/>
      <c r="G68" s="205"/>
      <c r="H68" s="205"/>
    </row>
    <row r="69" spans="1:8" ht="60" x14ac:dyDescent="0.25">
      <c r="A69" s="203" t="s">
        <v>61</v>
      </c>
      <c r="B69" s="208" t="s">
        <v>51</v>
      </c>
      <c r="C69" s="197"/>
      <c r="D69" s="196"/>
      <c r="E69" s="196"/>
      <c r="F69" s="196"/>
      <c r="G69" s="196"/>
      <c r="H69" s="196"/>
    </row>
    <row r="70" spans="1:8" x14ac:dyDescent="0.25">
      <c r="A70" s="203" t="s">
        <v>52</v>
      </c>
      <c r="B70" s="203" t="s">
        <v>62</v>
      </c>
      <c r="C70" s="197"/>
      <c r="D70" s="196"/>
      <c r="E70" s="196"/>
      <c r="F70" s="196"/>
      <c r="G70" s="196"/>
      <c r="H70" s="196"/>
    </row>
    <row r="71" spans="1:8" x14ac:dyDescent="0.25">
      <c r="A71" s="203" t="s">
        <v>63</v>
      </c>
      <c r="B71" s="203" t="s">
        <v>64</v>
      </c>
      <c r="C71" s="197"/>
      <c r="D71" s="196"/>
      <c r="E71" s="196"/>
      <c r="F71" s="196"/>
      <c r="G71" s="196"/>
      <c r="H71" s="196"/>
    </row>
    <row r="72" spans="1:8" x14ac:dyDescent="0.25">
      <c r="A72" s="203" t="s">
        <v>65</v>
      </c>
      <c r="B72" s="203" t="s">
        <v>66</v>
      </c>
      <c r="C72" s="197"/>
      <c r="D72" s="196"/>
      <c r="E72" s="196"/>
      <c r="F72" s="196"/>
      <c r="G72" s="196"/>
      <c r="H72" s="196"/>
    </row>
    <row r="73" spans="1:8" x14ac:dyDescent="0.25">
      <c r="A73" s="203" t="s">
        <v>67</v>
      </c>
      <c r="B73" s="203" t="s">
        <v>68</v>
      </c>
      <c r="C73" s="197">
        <v>1027</v>
      </c>
      <c r="D73" s="196">
        <v>1000</v>
      </c>
      <c r="E73" s="196">
        <v>1000</v>
      </c>
      <c r="F73" s="196">
        <v>1000</v>
      </c>
      <c r="G73" s="196">
        <v>1000</v>
      </c>
      <c r="H73" s="196">
        <v>1000</v>
      </c>
    </row>
    <row r="74" spans="1:8" x14ac:dyDescent="0.25">
      <c r="A74" s="203" t="s">
        <v>53</v>
      </c>
      <c r="B74" s="203" t="s">
        <v>69</v>
      </c>
      <c r="C74" s="197"/>
      <c r="D74" s="196"/>
      <c r="E74" s="196"/>
      <c r="F74" s="196"/>
      <c r="G74" s="196"/>
      <c r="H74" s="196"/>
    </row>
    <row r="75" spans="1:8" x14ac:dyDescent="0.25">
      <c r="A75" s="203" t="s">
        <v>70</v>
      </c>
      <c r="B75" s="203" t="s">
        <v>71</v>
      </c>
      <c r="C75" s="197"/>
      <c r="D75" s="196"/>
      <c r="E75" s="196"/>
      <c r="F75" s="196"/>
      <c r="G75" s="196"/>
      <c r="H75" s="196"/>
    </row>
    <row r="76" spans="1:8" x14ac:dyDescent="0.25">
      <c r="A76" s="203" t="s">
        <v>54</v>
      </c>
      <c r="B76" s="203" t="s">
        <v>58</v>
      </c>
      <c r="C76" s="197"/>
      <c r="D76" s="196"/>
      <c r="E76" s="196"/>
      <c r="F76" s="196"/>
      <c r="G76" s="196"/>
      <c r="H76" s="196"/>
    </row>
    <row r="77" spans="1:8" x14ac:dyDescent="0.25">
      <c r="A77" s="203" t="s">
        <v>55</v>
      </c>
      <c r="B77" s="203" t="s">
        <v>72</v>
      </c>
      <c r="C77" s="197"/>
      <c r="D77" s="196"/>
      <c r="E77" s="196"/>
      <c r="F77" s="196"/>
      <c r="G77" s="196"/>
      <c r="H77" s="196"/>
    </row>
    <row r="78" spans="1:8" ht="45" x14ac:dyDescent="0.25">
      <c r="A78" s="203" t="s">
        <v>73</v>
      </c>
      <c r="B78" s="208" t="s">
        <v>74</v>
      </c>
      <c r="C78" s="197"/>
      <c r="D78" s="196"/>
      <c r="E78" s="196"/>
      <c r="F78" s="196"/>
      <c r="G78" s="196"/>
      <c r="H78" s="196"/>
    </row>
    <row r="79" spans="1:8" x14ac:dyDescent="0.25">
      <c r="A79" s="203" t="s">
        <v>56</v>
      </c>
      <c r="B79" s="203" t="s">
        <v>75</v>
      </c>
      <c r="C79" s="197"/>
      <c r="D79" s="196"/>
      <c r="E79" s="196"/>
      <c r="F79" s="196"/>
      <c r="G79" s="196"/>
      <c r="H79" s="196"/>
    </row>
    <row r="80" spans="1:8" x14ac:dyDescent="0.25">
      <c r="A80" s="203" t="s">
        <v>76</v>
      </c>
      <c r="B80" s="203" t="s">
        <v>77</v>
      </c>
      <c r="C80" s="197">
        <v>5695</v>
      </c>
      <c r="D80" s="197">
        <v>0</v>
      </c>
      <c r="E80" s="197">
        <v>0</v>
      </c>
      <c r="F80" s="197">
        <v>0</v>
      </c>
      <c r="G80" s="197">
        <v>0</v>
      </c>
      <c r="H80" s="197">
        <v>0</v>
      </c>
    </row>
    <row r="81" spans="1:8" ht="15" customHeight="1" x14ac:dyDescent="0.25">
      <c r="A81" s="203" t="s">
        <v>57</v>
      </c>
      <c r="B81" s="203" t="s">
        <v>78</v>
      </c>
      <c r="C81" s="197"/>
      <c r="D81" s="196"/>
      <c r="E81" s="196"/>
      <c r="F81" s="196"/>
      <c r="G81" s="196"/>
      <c r="H81" s="196"/>
    </row>
    <row r="82" spans="1:8" x14ac:dyDescent="0.25">
      <c r="A82" s="198" t="s">
        <v>8</v>
      </c>
      <c r="B82" s="198"/>
      <c r="C82" s="196">
        <f>SUM(C67:C81)</f>
        <v>6722</v>
      </c>
      <c r="D82" s="196">
        <f>SUM(D67:D81)</f>
        <v>1000</v>
      </c>
      <c r="E82" s="196">
        <f>SUM(E67:E81)</f>
        <v>1000</v>
      </c>
      <c r="F82" s="196">
        <f>SUM(F67:F81)</f>
        <v>1000</v>
      </c>
      <c r="G82" s="196">
        <f>SUM(G67:G81)</f>
        <v>1000</v>
      </c>
      <c r="H82" s="196">
        <f>SUM(H67:H81)</f>
        <v>1000</v>
      </c>
    </row>
    <row r="83" spans="1:8" x14ac:dyDescent="0.25">
      <c r="A83" s="198"/>
      <c r="B83" s="198"/>
      <c r="C83" s="197"/>
      <c r="D83" s="196"/>
      <c r="E83" s="196"/>
      <c r="F83" s="196"/>
      <c r="G83" s="196"/>
      <c r="H83" s="196"/>
    </row>
    <row r="84" spans="1:8" s="17" customFormat="1" x14ac:dyDescent="0.25">
      <c r="A84" s="200" t="s">
        <v>125</v>
      </c>
      <c r="B84" s="207" t="s">
        <v>124</v>
      </c>
      <c r="C84" s="199">
        <v>6722</v>
      </c>
      <c r="D84" s="201">
        <v>1000</v>
      </c>
      <c r="E84" s="201">
        <v>1000</v>
      </c>
      <c r="F84" s="201">
        <v>1000</v>
      </c>
      <c r="G84" s="201">
        <v>1000</v>
      </c>
      <c r="H84" s="201">
        <v>1000</v>
      </c>
    </row>
    <row r="85" spans="1:8" x14ac:dyDescent="0.25">
      <c r="A85" s="198"/>
      <c r="B85" s="198"/>
      <c r="C85" s="197"/>
      <c r="D85" s="196"/>
      <c r="E85" s="196"/>
      <c r="F85" s="196"/>
      <c r="G85" s="196"/>
      <c r="H85" s="196"/>
    </row>
    <row r="86" spans="1:8" x14ac:dyDescent="0.25">
      <c r="A86" s="198" t="s">
        <v>152</v>
      </c>
      <c r="B86" s="198"/>
      <c r="C86" s="197"/>
      <c r="D86" s="196"/>
      <c r="E86" s="196"/>
      <c r="F86" s="196"/>
      <c r="G86" s="196"/>
      <c r="H86" s="196"/>
    </row>
    <row r="87" spans="1:8" s="17" customFormat="1" x14ac:dyDescent="0.25">
      <c r="A87" s="206" t="s">
        <v>9</v>
      </c>
      <c r="B87" s="206" t="s">
        <v>80</v>
      </c>
      <c r="C87" s="205">
        <v>-10437</v>
      </c>
      <c r="D87" s="204">
        <v>-10000</v>
      </c>
      <c r="E87" s="204">
        <v>-10000</v>
      </c>
      <c r="F87" s="204">
        <v>-10000</v>
      </c>
      <c r="G87" s="204">
        <v>-5000</v>
      </c>
      <c r="H87" s="204">
        <v>-2000</v>
      </c>
    </row>
    <row r="88" spans="1:8" x14ac:dyDescent="0.25">
      <c r="A88" s="203" t="s">
        <v>88</v>
      </c>
      <c r="B88" s="202" t="s">
        <v>81</v>
      </c>
      <c r="C88" s="197"/>
      <c r="D88" s="196"/>
      <c r="E88" s="196"/>
      <c r="F88" s="196"/>
      <c r="G88" s="196"/>
      <c r="H88" s="196"/>
    </row>
    <row r="89" spans="1:8" x14ac:dyDescent="0.25">
      <c r="A89" s="203" t="s">
        <v>88</v>
      </c>
      <c r="B89" s="202" t="s">
        <v>82</v>
      </c>
      <c r="C89" s="197"/>
      <c r="D89" s="196"/>
      <c r="E89" s="196"/>
      <c r="F89" s="196"/>
      <c r="G89" s="196"/>
      <c r="H89" s="196"/>
    </row>
    <row r="90" spans="1:8" x14ac:dyDescent="0.25">
      <c r="A90" s="203" t="s">
        <v>89</v>
      </c>
      <c r="B90" s="202" t="s">
        <v>83</v>
      </c>
      <c r="C90" s="197"/>
      <c r="D90" s="196"/>
      <c r="E90" s="196"/>
      <c r="F90" s="196"/>
      <c r="G90" s="196"/>
      <c r="H90" s="196"/>
    </row>
    <row r="91" spans="1:8" x14ac:dyDescent="0.25">
      <c r="A91" s="203" t="s">
        <v>90</v>
      </c>
      <c r="B91" s="202" t="s">
        <v>84</v>
      </c>
      <c r="C91" s="197"/>
      <c r="D91" s="196"/>
      <c r="E91" s="196"/>
      <c r="F91" s="196"/>
      <c r="G91" s="196"/>
      <c r="H91" s="196"/>
    </row>
    <row r="92" spans="1:8" x14ac:dyDescent="0.25">
      <c r="A92" s="203" t="s">
        <v>79</v>
      </c>
      <c r="B92" s="202" t="s">
        <v>85</v>
      </c>
      <c r="C92" s="197"/>
      <c r="D92" s="196"/>
      <c r="E92" s="196"/>
      <c r="F92" s="196"/>
      <c r="G92" s="196"/>
      <c r="H92" s="196"/>
    </row>
    <row r="93" spans="1:8" x14ac:dyDescent="0.25">
      <c r="A93" s="203" t="s">
        <v>91</v>
      </c>
      <c r="B93" s="202" t="s">
        <v>86</v>
      </c>
      <c r="C93" s="197"/>
      <c r="D93" s="196"/>
      <c r="E93" s="196"/>
      <c r="F93" s="196"/>
      <c r="G93" s="196"/>
      <c r="H93" s="196"/>
    </row>
    <row r="94" spans="1:8" x14ac:dyDescent="0.25">
      <c r="A94" s="203" t="s">
        <v>92</v>
      </c>
      <c r="B94" s="202" t="s">
        <v>87</v>
      </c>
      <c r="C94" s="197"/>
      <c r="D94" s="196"/>
      <c r="E94" s="196"/>
      <c r="F94" s="196"/>
      <c r="G94" s="196"/>
      <c r="H94" s="196"/>
    </row>
    <row r="95" spans="1:8" x14ac:dyDescent="0.25">
      <c r="A95" s="198" t="s">
        <v>10</v>
      </c>
      <c r="B95" s="198"/>
      <c r="C95" s="196">
        <f>SUM(C87:C94)</f>
        <v>-10437</v>
      </c>
      <c r="D95" s="196">
        <f>SUM(D87:D94)</f>
        <v>-10000</v>
      </c>
      <c r="E95" s="196">
        <f>SUM(E87:E94)</f>
        <v>-10000</v>
      </c>
      <c r="F95" s="196">
        <f>SUM(F87:F94)</f>
        <v>-10000</v>
      </c>
      <c r="G95" s="196">
        <f>SUM(G87:G94)</f>
        <v>-5000</v>
      </c>
      <c r="H95" s="196">
        <f>SUM(H87:H94)</f>
        <v>-2000</v>
      </c>
    </row>
    <row r="96" spans="1:8" x14ac:dyDescent="0.25">
      <c r="A96" s="198"/>
      <c r="B96" s="198"/>
      <c r="C96" s="197"/>
      <c r="D96" s="196"/>
      <c r="E96" s="196"/>
      <c r="F96" s="196"/>
      <c r="G96" s="196"/>
      <c r="H96" s="196"/>
    </row>
    <row r="97" spans="1:8" s="17" customFormat="1" x14ac:dyDescent="0.25">
      <c r="A97" s="200" t="s">
        <v>121</v>
      </c>
      <c r="B97" s="200" t="s">
        <v>126</v>
      </c>
      <c r="C97" s="199">
        <v>11862</v>
      </c>
      <c r="D97" s="201">
        <v>10000</v>
      </c>
      <c r="E97" s="201">
        <v>10000</v>
      </c>
      <c r="F97" s="201">
        <v>10000</v>
      </c>
      <c r="G97" s="201">
        <v>10000</v>
      </c>
      <c r="H97" s="201">
        <v>10000</v>
      </c>
    </row>
    <row r="98" spans="1:8" s="17" customFormat="1" x14ac:dyDescent="0.25">
      <c r="A98" s="200" t="s">
        <v>122</v>
      </c>
      <c r="B98" s="200" t="s">
        <v>127</v>
      </c>
      <c r="C98" s="199">
        <v>302730</v>
      </c>
      <c r="D98" s="201">
        <v>204000</v>
      </c>
      <c r="E98" s="201">
        <v>104000</v>
      </c>
      <c r="F98" s="201">
        <v>14000</v>
      </c>
      <c r="G98" s="201">
        <v>34000</v>
      </c>
      <c r="H98" s="201">
        <v>64000</v>
      </c>
    </row>
    <row r="99" spans="1:8" s="17" customFormat="1" x14ac:dyDescent="0.25">
      <c r="A99" s="200" t="s">
        <v>131</v>
      </c>
      <c r="B99" s="200"/>
      <c r="C99" s="199">
        <v>307870</v>
      </c>
      <c r="D99" s="201">
        <v>203000</v>
      </c>
      <c r="E99" s="201">
        <v>103000</v>
      </c>
      <c r="F99" s="201">
        <v>13000</v>
      </c>
      <c r="G99" s="201">
        <v>33000</v>
      </c>
      <c r="H99" s="201">
        <v>63000</v>
      </c>
    </row>
    <row r="100" spans="1:8" s="17" customFormat="1" x14ac:dyDescent="0.25">
      <c r="A100" s="200" t="s">
        <v>123</v>
      </c>
      <c r="B100" s="200" t="s">
        <v>128</v>
      </c>
      <c r="C100" s="199">
        <f>C97+C98</f>
        <v>314592</v>
      </c>
      <c r="D100" s="199">
        <f>D97+D98</f>
        <v>214000</v>
      </c>
      <c r="E100" s="199">
        <f>E97+E98</f>
        <v>114000</v>
      </c>
      <c r="F100" s="199">
        <f>F97+F98</f>
        <v>24000</v>
      </c>
      <c r="G100" s="199">
        <f>G97+G98</f>
        <v>44000</v>
      </c>
      <c r="H100" s="199">
        <f>H97+H98</f>
        <v>74000</v>
      </c>
    </row>
    <row r="101" spans="1:8" x14ac:dyDescent="0.25">
      <c r="A101" s="198"/>
      <c r="B101" s="198"/>
      <c r="C101" s="197"/>
      <c r="D101" s="196"/>
      <c r="E101" s="196"/>
      <c r="F101" s="196"/>
      <c r="G101" s="196"/>
      <c r="H101" s="196"/>
    </row>
    <row r="102" spans="1:8" x14ac:dyDescent="0.25">
      <c r="A102" s="195" t="s">
        <v>11</v>
      </c>
      <c r="B102" s="195"/>
      <c r="C102" s="194">
        <f>C82+C95</f>
        <v>-3715</v>
      </c>
      <c r="D102" s="194">
        <f>D82+D95</f>
        <v>-9000</v>
      </c>
      <c r="E102" s="194">
        <f>E82+E95</f>
        <v>-9000</v>
      </c>
      <c r="F102" s="194">
        <f>F82+F95</f>
        <v>-9000</v>
      </c>
      <c r="G102" s="194">
        <f>G82+G95</f>
        <v>-4000</v>
      </c>
      <c r="H102" s="194">
        <f>H82+H95</f>
        <v>-1000</v>
      </c>
    </row>
    <row r="103" spans="1:8" x14ac:dyDescent="0.25">
      <c r="A103" s="193" t="s">
        <v>3</v>
      </c>
      <c r="B103" s="193"/>
      <c r="C103" s="192">
        <f>C102/C16</f>
        <v>-0.12471883707657704</v>
      </c>
      <c r="D103" s="192">
        <f>D102/D16</f>
        <v>-0.41860465116279072</v>
      </c>
      <c r="E103" s="192">
        <f>E102/E16</f>
        <v>-0.41860465116279072</v>
      </c>
      <c r="F103" s="192">
        <f>F102/F16</f>
        <v>-0.41860465116279072</v>
      </c>
      <c r="G103" s="192">
        <f>G102/G16</f>
        <v>-0.18604651162790697</v>
      </c>
      <c r="H103" s="192">
        <f>H102/H16</f>
        <v>-4.6511627906976744E-2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/>
    </row>
    <row r="123" spans="1:8" x14ac:dyDescent="0.25">
      <c r="A123" s="12"/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3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1" t="s">
        <v>353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202"/>
      <c r="B4" s="217" t="s">
        <v>12</v>
      </c>
      <c r="C4" s="215">
        <v>2015</v>
      </c>
      <c r="D4" s="404">
        <v>2016</v>
      </c>
      <c r="E4" s="403">
        <v>2017</v>
      </c>
      <c r="F4" s="403">
        <v>2018</v>
      </c>
      <c r="G4" s="403">
        <v>2019</v>
      </c>
      <c r="H4" s="403">
        <v>2020</v>
      </c>
    </row>
    <row r="5" spans="1:8" x14ac:dyDescent="0.25">
      <c r="A5" s="215"/>
      <c r="B5" s="215"/>
      <c r="C5" s="215"/>
      <c r="D5" s="404"/>
      <c r="E5" s="403"/>
      <c r="F5" s="403"/>
      <c r="G5" s="403"/>
      <c r="H5" s="403"/>
    </row>
    <row r="6" spans="1:8" x14ac:dyDescent="0.25">
      <c r="A6" s="198" t="s">
        <v>49</v>
      </c>
      <c r="B6" s="198"/>
      <c r="C6" s="198"/>
      <c r="D6" s="402"/>
      <c r="E6" s="386"/>
      <c r="F6" s="386"/>
      <c r="G6" s="386"/>
      <c r="H6" s="386"/>
    </row>
    <row r="7" spans="1:8" x14ac:dyDescent="0.25">
      <c r="A7" s="203" t="s">
        <v>13</v>
      </c>
      <c r="B7" s="203" t="s">
        <v>25</v>
      </c>
      <c r="C7" s="197">
        <v>0</v>
      </c>
      <c r="D7" s="399"/>
      <c r="E7" s="383"/>
      <c r="F7" s="383"/>
      <c r="G7" s="383"/>
      <c r="H7" s="383"/>
    </row>
    <row r="8" spans="1:8" x14ac:dyDescent="0.25">
      <c r="A8" s="203" t="s">
        <v>26</v>
      </c>
      <c r="B8" s="203" t="s">
        <v>27</v>
      </c>
      <c r="C8" s="197">
        <v>465035</v>
      </c>
      <c r="D8" s="399">
        <v>602045</v>
      </c>
      <c r="E8" s="383">
        <v>751000</v>
      </c>
      <c r="F8" s="383">
        <v>751000</v>
      </c>
      <c r="G8" s="383">
        <v>759000</v>
      </c>
      <c r="H8" s="383">
        <v>759000</v>
      </c>
    </row>
    <row r="9" spans="1:8" x14ac:dyDescent="0.25">
      <c r="A9" s="203" t="s">
        <v>28</v>
      </c>
      <c r="B9" s="203" t="s">
        <v>14</v>
      </c>
      <c r="C9" s="197">
        <v>0</v>
      </c>
      <c r="D9" s="399"/>
      <c r="E9" s="383"/>
      <c r="F9" s="383"/>
      <c r="G9" s="383"/>
      <c r="H9" s="383"/>
    </row>
    <row r="10" spans="1:8" x14ac:dyDescent="0.25">
      <c r="A10" s="203" t="s">
        <v>15</v>
      </c>
      <c r="B10" s="203" t="s">
        <v>29</v>
      </c>
      <c r="C10" s="197">
        <v>1405476</v>
      </c>
      <c r="D10" s="399">
        <v>1608754</v>
      </c>
      <c r="E10" s="383">
        <v>1714000</v>
      </c>
      <c r="F10" s="383">
        <v>1771000</v>
      </c>
      <c r="G10" s="383">
        <v>1796000</v>
      </c>
      <c r="H10" s="383">
        <v>1802000</v>
      </c>
    </row>
    <row r="11" spans="1:8" x14ac:dyDescent="0.25">
      <c r="A11" s="203" t="s">
        <v>16</v>
      </c>
      <c r="B11" s="203" t="s">
        <v>30</v>
      </c>
      <c r="C11" s="197">
        <v>0</v>
      </c>
      <c r="D11" s="399"/>
      <c r="E11" s="383"/>
      <c r="F11" s="383"/>
      <c r="G11" s="383"/>
      <c r="H11" s="383"/>
    </row>
    <row r="12" spans="1:8" x14ac:dyDescent="0.25">
      <c r="A12" s="203" t="s">
        <v>31</v>
      </c>
      <c r="B12" s="203" t="s">
        <v>32</v>
      </c>
      <c r="C12" s="197">
        <v>0</v>
      </c>
      <c r="D12" s="399"/>
      <c r="E12" s="383"/>
      <c r="F12" s="383"/>
      <c r="G12" s="383"/>
      <c r="H12" s="383"/>
    </row>
    <row r="13" spans="1:8" x14ac:dyDescent="0.25">
      <c r="A13" s="203" t="s">
        <v>17</v>
      </c>
      <c r="B13" s="203" t="s">
        <v>33</v>
      </c>
      <c r="C13" s="197">
        <v>2329</v>
      </c>
      <c r="D13" s="399">
        <v>1670</v>
      </c>
      <c r="E13" s="383">
        <v>2000</v>
      </c>
      <c r="F13" s="383">
        <v>2000</v>
      </c>
      <c r="G13" s="383">
        <v>2000</v>
      </c>
      <c r="H13" s="383">
        <v>2000</v>
      </c>
    </row>
    <row r="14" spans="1:8" x14ac:dyDescent="0.25">
      <c r="A14" s="203" t="s">
        <v>18</v>
      </c>
      <c r="B14" s="203" t="s">
        <v>34</v>
      </c>
      <c r="C14" s="197"/>
      <c r="D14" s="399"/>
      <c r="E14" s="383"/>
      <c r="F14" s="383"/>
      <c r="G14" s="383"/>
      <c r="H14" s="383"/>
    </row>
    <row r="15" spans="1:8" x14ac:dyDescent="0.25">
      <c r="A15" s="203" t="s">
        <v>35</v>
      </c>
      <c r="B15" s="203" t="s">
        <v>36</v>
      </c>
      <c r="C15" s="197">
        <v>7046</v>
      </c>
      <c r="D15" s="399">
        <v>200</v>
      </c>
      <c r="E15" s="383">
        <v>0</v>
      </c>
      <c r="F15" s="383">
        <v>0</v>
      </c>
      <c r="G15" s="383">
        <v>0</v>
      </c>
      <c r="H15" s="383">
        <v>0</v>
      </c>
    </row>
    <row r="16" spans="1:8" x14ac:dyDescent="0.25">
      <c r="A16" s="198" t="s">
        <v>0</v>
      </c>
      <c r="B16" s="198"/>
      <c r="C16" s="196">
        <f>SUM(C7:C15)</f>
        <v>1879886</v>
      </c>
      <c r="D16" s="399">
        <f>SUM(D7:D15)</f>
        <v>2212669</v>
      </c>
      <c r="E16" s="383">
        <f>SUM(E7:E15)</f>
        <v>2467000</v>
      </c>
      <c r="F16" s="383">
        <f>SUM(F7:F15)</f>
        <v>2524000</v>
      </c>
      <c r="G16" s="383">
        <f>SUM(G7:G15)</f>
        <v>2557000</v>
      </c>
      <c r="H16" s="383">
        <f>SUM(H7:H15)</f>
        <v>2563000</v>
      </c>
    </row>
    <row r="17" spans="1:8" x14ac:dyDescent="0.25">
      <c r="A17" s="203"/>
      <c r="B17" s="203"/>
      <c r="C17" s="196"/>
      <c r="D17" s="399"/>
      <c r="E17" s="383"/>
      <c r="F17" s="383"/>
      <c r="G17" s="383"/>
      <c r="H17" s="383"/>
    </row>
    <row r="18" spans="1:8" s="17" customFormat="1" x14ac:dyDescent="0.25">
      <c r="A18" s="207" t="s">
        <v>132</v>
      </c>
      <c r="B18" s="207"/>
      <c r="C18" s="401"/>
      <c r="D18" s="401"/>
      <c r="E18" s="401"/>
      <c r="F18" s="401"/>
      <c r="G18" s="401"/>
      <c r="H18" s="201"/>
    </row>
    <row r="19" spans="1:8" s="17" customFormat="1" x14ac:dyDescent="0.25">
      <c r="A19" s="207" t="s">
        <v>352</v>
      </c>
      <c r="B19" s="207" t="s">
        <v>115</v>
      </c>
      <c r="C19" s="401">
        <v>474410</v>
      </c>
      <c r="D19" s="401">
        <v>603915</v>
      </c>
      <c r="E19" s="401">
        <v>1716000</v>
      </c>
      <c r="F19" s="401">
        <v>753000</v>
      </c>
      <c r="G19" s="401">
        <v>761000</v>
      </c>
      <c r="H19" s="201">
        <v>761000</v>
      </c>
    </row>
    <row r="20" spans="1:8" s="17" customFormat="1" x14ac:dyDescent="0.25">
      <c r="A20" s="207" t="s">
        <v>351</v>
      </c>
      <c r="B20" s="207" t="s">
        <v>117</v>
      </c>
      <c r="C20" s="401">
        <v>1405476</v>
      </c>
      <c r="D20" s="401">
        <v>1608754</v>
      </c>
      <c r="E20" s="401">
        <v>753000</v>
      </c>
      <c r="F20" s="401">
        <v>1771000</v>
      </c>
      <c r="G20" s="401">
        <v>1796000</v>
      </c>
      <c r="H20" s="201">
        <v>1802000</v>
      </c>
    </row>
    <row r="21" spans="1:8" s="17" customFormat="1" x14ac:dyDescent="0.25">
      <c r="A21" s="207" t="s">
        <v>114</v>
      </c>
      <c r="B21" s="207" t="s">
        <v>116</v>
      </c>
      <c r="C21" s="401">
        <f>SUM(C19:C20)</f>
        <v>1879886</v>
      </c>
      <c r="D21" s="401">
        <f>SUM(D19:D20)</f>
        <v>2212669</v>
      </c>
      <c r="E21" s="401">
        <f>SUM(E19:E20)</f>
        <v>2469000</v>
      </c>
      <c r="F21" s="401">
        <f>SUM(F19:F20)</f>
        <v>2524000</v>
      </c>
      <c r="G21" s="401">
        <f>SUM(G19:G20)</f>
        <v>2557000</v>
      </c>
      <c r="H21" s="201">
        <f>SUM(H19:H20)</f>
        <v>2563000</v>
      </c>
    </row>
    <row r="22" spans="1:8" x14ac:dyDescent="0.25">
      <c r="A22" s="203"/>
      <c r="B22" s="203"/>
      <c r="C22" s="197"/>
      <c r="D22" s="399"/>
      <c r="E22" s="383"/>
      <c r="F22" s="383"/>
      <c r="G22" s="383"/>
      <c r="H22" s="383"/>
    </row>
    <row r="23" spans="1:8" x14ac:dyDescent="0.25">
      <c r="A23" s="203" t="s">
        <v>350</v>
      </c>
      <c r="B23" s="203"/>
      <c r="C23" s="197"/>
      <c r="D23" s="399"/>
      <c r="E23" s="383"/>
      <c r="F23" s="383"/>
      <c r="G23" s="383"/>
      <c r="H23" s="383"/>
    </row>
    <row r="24" spans="1:8" x14ac:dyDescent="0.25">
      <c r="A24" s="203" t="s">
        <v>19</v>
      </c>
      <c r="B24" s="203" t="s">
        <v>37</v>
      </c>
      <c r="C24" s="197"/>
      <c r="D24" s="399"/>
      <c r="E24" s="383"/>
      <c r="F24" s="383"/>
      <c r="G24" s="383"/>
      <c r="H24" s="383"/>
    </row>
    <row r="25" spans="1:8" x14ac:dyDescent="0.25">
      <c r="A25" s="203" t="s">
        <v>23</v>
      </c>
      <c r="B25" s="203" t="s">
        <v>24</v>
      </c>
      <c r="C25" s="197"/>
      <c r="D25" s="399"/>
      <c r="E25" s="383"/>
      <c r="F25" s="383"/>
      <c r="G25" s="383"/>
      <c r="H25" s="383"/>
    </row>
    <row r="26" spans="1:8" x14ac:dyDescent="0.25">
      <c r="A26" s="203" t="s">
        <v>20</v>
      </c>
      <c r="B26" s="203" t="s">
        <v>38</v>
      </c>
      <c r="C26" s="197"/>
      <c r="D26" s="399"/>
      <c r="E26" s="383"/>
      <c r="F26" s="383"/>
      <c r="G26" s="383"/>
      <c r="H26" s="383"/>
    </row>
    <row r="27" spans="1:8" x14ac:dyDescent="0.25">
      <c r="A27" s="203" t="s">
        <v>21</v>
      </c>
      <c r="B27" s="203" t="s">
        <v>39</v>
      </c>
      <c r="C27" s="197"/>
      <c r="D27" s="399"/>
      <c r="E27" s="383"/>
      <c r="F27" s="383"/>
      <c r="G27" s="383"/>
      <c r="H27" s="383"/>
    </row>
    <row r="28" spans="1:8" x14ac:dyDescent="0.25">
      <c r="A28" s="203" t="s">
        <v>22</v>
      </c>
      <c r="B28" s="203" t="s">
        <v>40</v>
      </c>
      <c r="C28" s="197">
        <v>-1973005</v>
      </c>
      <c r="D28" s="399">
        <v>-2207958</v>
      </c>
      <c r="E28" s="383">
        <v>-2266000</v>
      </c>
      <c r="F28" s="383">
        <v>-2316000</v>
      </c>
      <c r="G28" s="383">
        <v>-2324000</v>
      </c>
      <c r="H28" s="383">
        <v>-2318000</v>
      </c>
    </row>
    <row r="29" spans="1:8" x14ac:dyDescent="0.25">
      <c r="A29" s="203" t="s">
        <v>41</v>
      </c>
      <c r="B29" s="203" t="s">
        <v>42</v>
      </c>
      <c r="C29" s="197">
        <v>-7659</v>
      </c>
      <c r="D29" s="399">
        <v>-1900</v>
      </c>
      <c r="E29" s="383">
        <v>-7000</v>
      </c>
      <c r="F29" s="383">
        <v>-7000</v>
      </c>
      <c r="G29" s="383">
        <v>-7000</v>
      </c>
      <c r="H29" s="383">
        <v>-7000</v>
      </c>
    </row>
    <row r="30" spans="1:8" x14ac:dyDescent="0.25">
      <c r="A30" s="203" t="s">
        <v>43</v>
      </c>
      <c r="B30" s="203" t="s">
        <v>44</v>
      </c>
      <c r="C30" s="197"/>
      <c r="D30" s="399"/>
      <c r="E30" s="383"/>
      <c r="F30" s="383"/>
      <c r="G30" s="383"/>
      <c r="H30" s="383"/>
    </row>
    <row r="31" spans="1:8" x14ac:dyDescent="0.25">
      <c r="A31" s="203" t="s">
        <v>45</v>
      </c>
      <c r="B31" s="203" t="s">
        <v>46</v>
      </c>
      <c r="C31" s="197"/>
      <c r="D31" s="400"/>
      <c r="E31" s="384"/>
      <c r="F31" s="384"/>
      <c r="G31" s="384"/>
      <c r="H31" s="384"/>
    </row>
    <row r="32" spans="1:8" x14ac:dyDescent="0.25">
      <c r="A32" s="203" t="s">
        <v>47</v>
      </c>
      <c r="B32" s="203" t="s">
        <v>48</v>
      </c>
      <c r="C32" s="197"/>
      <c r="D32" s="400"/>
      <c r="E32" s="384"/>
      <c r="F32" s="384"/>
      <c r="G32" s="384"/>
      <c r="H32" s="384"/>
    </row>
    <row r="33" spans="1:13" x14ac:dyDescent="0.25">
      <c r="A33" s="198" t="s">
        <v>1</v>
      </c>
      <c r="B33" s="198"/>
      <c r="C33" s="196">
        <f>SUM(C24:C32)</f>
        <v>-1980664</v>
      </c>
      <c r="D33" s="399">
        <f>SUM(D24:D32)</f>
        <v>-2209858</v>
      </c>
      <c r="E33" s="383">
        <f>SUM(E24:E32)</f>
        <v>-2273000</v>
      </c>
      <c r="F33" s="383">
        <f>SUM(F24:F32)</f>
        <v>-2323000</v>
      </c>
      <c r="G33" s="383">
        <f>SUM(G24:G32)</f>
        <v>-2331000</v>
      </c>
      <c r="H33" s="383">
        <f>SUM(H24:H32)</f>
        <v>-2325000</v>
      </c>
    </row>
    <row r="34" spans="1:13" x14ac:dyDescent="0.25">
      <c r="A34" s="198"/>
      <c r="B34" s="198"/>
      <c r="C34" s="196"/>
      <c r="D34" s="196"/>
      <c r="E34" s="398"/>
      <c r="F34" s="398"/>
      <c r="G34" s="398"/>
      <c r="H34" s="398"/>
    </row>
    <row r="35" spans="1:13" s="17" customFormat="1" x14ac:dyDescent="0.25">
      <c r="A35" s="200" t="s">
        <v>349</v>
      </c>
      <c r="B35" s="200"/>
      <c r="C35" s="201"/>
      <c r="D35" s="201"/>
      <c r="E35" s="201"/>
      <c r="F35" s="201"/>
      <c r="G35" s="201"/>
      <c r="H35" s="201"/>
    </row>
    <row r="36" spans="1:13" s="17" customFormat="1" x14ac:dyDescent="0.25">
      <c r="A36" s="200" t="s">
        <v>119</v>
      </c>
      <c r="B36" s="200" t="s">
        <v>118</v>
      </c>
      <c r="C36" s="201"/>
      <c r="D36" s="201"/>
      <c r="E36" s="201"/>
      <c r="F36" s="201"/>
      <c r="G36" s="201"/>
      <c r="H36" s="201"/>
    </row>
    <row r="37" spans="1:13" s="17" customFormat="1" x14ac:dyDescent="0.25">
      <c r="A37" s="200" t="s">
        <v>133</v>
      </c>
      <c r="B37" s="200" t="s">
        <v>134</v>
      </c>
      <c r="C37" s="201">
        <v>-1973005</v>
      </c>
      <c r="D37" s="201">
        <v>-2207958</v>
      </c>
      <c r="E37" s="201">
        <v>-2266000</v>
      </c>
      <c r="F37" s="201">
        <v>-2316000</v>
      </c>
      <c r="G37" s="201">
        <v>-2324000</v>
      </c>
      <c r="H37" s="201">
        <v>-2318000</v>
      </c>
    </row>
    <row r="38" spans="1:13" s="17" customFormat="1" x14ac:dyDescent="0.25">
      <c r="A38" s="200" t="s">
        <v>136</v>
      </c>
      <c r="B38" s="200" t="s">
        <v>135</v>
      </c>
      <c r="C38" s="201">
        <v>-7659</v>
      </c>
      <c r="D38" s="201">
        <v>-1900</v>
      </c>
      <c r="E38" s="201">
        <v>-7000</v>
      </c>
      <c r="F38" s="201">
        <v>-7000</v>
      </c>
      <c r="G38" s="201">
        <v>-7000</v>
      </c>
      <c r="H38" s="201">
        <v>-7000</v>
      </c>
    </row>
    <row r="39" spans="1:13" s="17" customFormat="1" x14ac:dyDescent="0.25">
      <c r="A39" s="200" t="s">
        <v>138</v>
      </c>
      <c r="B39" s="200" t="s">
        <v>120</v>
      </c>
      <c r="C39" s="199"/>
      <c r="D39" s="201"/>
      <c r="E39" s="201"/>
      <c r="F39" s="201"/>
      <c r="G39" s="201"/>
      <c r="H39" s="201"/>
    </row>
    <row r="40" spans="1:13" s="17" customFormat="1" x14ac:dyDescent="0.25">
      <c r="A40" s="200" t="s">
        <v>113</v>
      </c>
      <c r="B40" s="200" t="s">
        <v>137</v>
      </c>
      <c r="C40" s="201">
        <f>SUM(C36:C39)</f>
        <v>-1980664</v>
      </c>
      <c r="D40" s="201">
        <f>SUM(D36:D39)</f>
        <v>-2209858</v>
      </c>
      <c r="E40" s="201">
        <f>SUM(E36:E39)</f>
        <v>-2273000</v>
      </c>
      <c r="F40" s="201">
        <f>SUM(F36:F39)</f>
        <v>-2323000</v>
      </c>
      <c r="G40" s="201">
        <f>SUM(G36:G39)</f>
        <v>-2331000</v>
      </c>
      <c r="H40" s="201">
        <f>SUM(H36:H39)</f>
        <v>-2325000</v>
      </c>
    </row>
    <row r="41" spans="1:13" x14ac:dyDescent="0.25">
      <c r="A41" s="198"/>
      <c r="B41" s="198"/>
      <c r="C41" s="197"/>
      <c r="D41" s="196"/>
      <c r="E41" s="196"/>
      <c r="F41" s="196"/>
      <c r="G41" s="196"/>
      <c r="H41" s="196"/>
    </row>
    <row r="42" spans="1:13" x14ac:dyDescent="0.25">
      <c r="A42" s="397" t="s">
        <v>2</v>
      </c>
      <c r="B42" s="397"/>
      <c r="C42" s="396">
        <f>C16+C33</f>
        <v>-100778</v>
      </c>
      <c r="D42" s="396">
        <f>D16+D33</f>
        <v>2811</v>
      </c>
      <c r="E42" s="396">
        <f>E16+E33</f>
        <v>194000</v>
      </c>
      <c r="F42" s="396">
        <f>F16+F33</f>
        <v>201000</v>
      </c>
      <c r="G42" s="396">
        <f>G16+G33</f>
        <v>226000</v>
      </c>
      <c r="H42" s="396">
        <f>H16+H33</f>
        <v>238000</v>
      </c>
      <c r="I42" s="161"/>
      <c r="J42" s="161"/>
      <c r="K42" s="161"/>
      <c r="L42" s="161"/>
      <c r="M42" s="161"/>
    </row>
    <row r="43" spans="1:13" x14ac:dyDescent="0.25">
      <c r="A43" s="193" t="s">
        <v>3</v>
      </c>
      <c r="B43" s="193"/>
      <c r="C43" s="388">
        <f>C42/C16</f>
        <v>-5.3608569881365149E-2</v>
      </c>
      <c r="D43" s="388">
        <f>D42/D16</f>
        <v>1.270411435239523E-3</v>
      </c>
      <c r="E43" s="388">
        <f>E42/E16</f>
        <v>7.8638021888933929E-2</v>
      </c>
      <c r="F43" s="388">
        <f>F42/F16</f>
        <v>7.9635499207606972E-2</v>
      </c>
      <c r="G43" s="388">
        <f>G42/G16</f>
        <v>8.8384825967931166E-2</v>
      </c>
      <c r="H43" s="388">
        <f>H42/H16</f>
        <v>9.2859929769801008E-2</v>
      </c>
    </row>
    <row r="44" spans="1:13" x14ac:dyDescent="0.25">
      <c r="A44" s="193"/>
      <c r="B44" s="193"/>
      <c r="C44" s="211"/>
      <c r="D44" s="211"/>
      <c r="E44" s="211"/>
      <c r="F44" s="211"/>
      <c r="G44" s="211"/>
      <c r="H44" s="211"/>
    </row>
    <row r="45" spans="1:13" s="17" customFormat="1" x14ac:dyDescent="0.25">
      <c r="A45" s="213" t="s">
        <v>130</v>
      </c>
      <c r="B45" s="213" t="s">
        <v>348</v>
      </c>
      <c r="C45" s="212">
        <f>C21-C40</f>
        <v>3860550</v>
      </c>
      <c r="D45" s="212">
        <f>D21-D40</f>
        <v>4422527</v>
      </c>
      <c r="E45" s="212">
        <f>E21-E40</f>
        <v>4742000</v>
      </c>
      <c r="F45" s="212">
        <f>F21-F40</f>
        <v>4847000</v>
      </c>
      <c r="G45" s="212">
        <f>G21-G40</f>
        <v>4888000</v>
      </c>
      <c r="H45" s="212">
        <f>H21-H40</f>
        <v>4888000</v>
      </c>
    </row>
    <row r="46" spans="1:13" x14ac:dyDescent="0.25">
      <c r="A46" s="193"/>
      <c r="B46" s="193"/>
      <c r="C46" s="211"/>
      <c r="D46" s="211"/>
      <c r="E46" s="211"/>
      <c r="F46" s="211"/>
      <c r="G46" s="211"/>
      <c r="H46" s="211"/>
    </row>
    <row r="47" spans="1:13" x14ac:dyDescent="0.25">
      <c r="A47" s="198" t="s">
        <v>347</v>
      </c>
      <c r="B47" s="198"/>
      <c r="C47" s="197"/>
      <c r="D47" s="196"/>
      <c r="E47" s="196"/>
      <c r="F47" s="196"/>
      <c r="G47" s="196"/>
      <c r="H47" s="196"/>
    </row>
    <row r="48" spans="1:13" x14ac:dyDescent="0.25">
      <c r="A48" s="202" t="s">
        <v>107</v>
      </c>
      <c r="B48" s="198"/>
      <c r="C48" s="197">
        <v>-2418</v>
      </c>
      <c r="D48" s="196">
        <v>-19000</v>
      </c>
      <c r="E48" s="196">
        <v>-120500</v>
      </c>
      <c r="F48" s="196">
        <v>-428500</v>
      </c>
      <c r="G48" s="196">
        <v>-613475</v>
      </c>
      <c r="H48" s="196">
        <v>-108000</v>
      </c>
    </row>
    <row r="49" spans="1:8" x14ac:dyDescent="0.25">
      <c r="A49" s="202" t="s">
        <v>346</v>
      </c>
      <c r="B49" s="198"/>
      <c r="C49" s="197"/>
      <c r="D49" s="196"/>
      <c r="E49" s="196"/>
      <c r="F49" s="196"/>
      <c r="G49" s="196"/>
      <c r="H49" s="196"/>
    </row>
    <row r="50" spans="1:8" x14ac:dyDescent="0.25">
      <c r="A50" s="202" t="s">
        <v>4</v>
      </c>
      <c r="B50" s="198"/>
      <c r="C50" s="197"/>
      <c r="D50" s="196">
        <v>19000</v>
      </c>
      <c r="E50" s="196">
        <v>120500</v>
      </c>
      <c r="F50" s="196">
        <v>428500</v>
      </c>
      <c r="G50" s="196">
        <v>613475</v>
      </c>
      <c r="H50" s="196">
        <v>108000</v>
      </c>
    </row>
    <row r="51" spans="1:8" x14ac:dyDescent="0.25">
      <c r="A51" s="202" t="s">
        <v>5</v>
      </c>
      <c r="B51" s="198"/>
      <c r="C51" s="197"/>
      <c r="D51" s="196"/>
      <c r="E51" s="196"/>
      <c r="F51" s="196"/>
      <c r="G51" s="196"/>
      <c r="H51" s="196"/>
    </row>
    <row r="52" spans="1:8" x14ac:dyDescent="0.25">
      <c r="A52" s="202" t="s">
        <v>345</v>
      </c>
      <c r="B52" s="198"/>
      <c r="C52" s="197"/>
      <c r="D52" s="196"/>
      <c r="E52" s="196"/>
      <c r="F52" s="196"/>
      <c r="G52" s="196"/>
      <c r="H52" s="196"/>
    </row>
    <row r="53" spans="1:8" x14ac:dyDescent="0.25">
      <c r="A53" s="202" t="s">
        <v>108</v>
      </c>
      <c r="B53" s="198"/>
      <c r="C53" s="197"/>
      <c r="D53" s="196"/>
      <c r="E53" s="196"/>
      <c r="F53" s="196"/>
      <c r="G53" s="196"/>
      <c r="H53" s="196"/>
    </row>
    <row r="54" spans="1:8" x14ac:dyDescent="0.25">
      <c r="A54" s="202" t="s">
        <v>344</v>
      </c>
      <c r="B54" s="198"/>
      <c r="C54" s="197"/>
      <c r="D54" s="196"/>
      <c r="E54" s="196"/>
      <c r="F54" s="196"/>
      <c r="G54" s="196"/>
      <c r="H54" s="196"/>
    </row>
    <row r="55" spans="1:8" x14ac:dyDescent="0.25">
      <c r="A55" s="202" t="s">
        <v>109</v>
      </c>
      <c r="B55" s="198"/>
      <c r="C55" s="197"/>
      <c r="D55" s="196"/>
      <c r="E55" s="196"/>
      <c r="F55" s="196"/>
      <c r="G55" s="196"/>
      <c r="H55" s="196"/>
    </row>
    <row r="56" spans="1:8" x14ac:dyDescent="0.25">
      <c r="A56" s="202" t="s">
        <v>343</v>
      </c>
      <c r="B56" s="198"/>
      <c r="C56" s="197"/>
      <c r="D56" s="196"/>
      <c r="E56" s="196"/>
      <c r="F56" s="196"/>
      <c r="G56" s="196"/>
      <c r="H56" s="196"/>
    </row>
    <row r="57" spans="1:8" x14ac:dyDescent="0.25">
      <c r="A57" s="202" t="s">
        <v>110</v>
      </c>
      <c r="B57" s="198"/>
      <c r="C57" s="197">
        <v>415576</v>
      </c>
      <c r="D57" s="196">
        <v>411658</v>
      </c>
      <c r="E57" s="196">
        <v>411658</v>
      </c>
      <c r="F57" s="196">
        <v>411658</v>
      </c>
      <c r="G57" s="196">
        <v>411658</v>
      </c>
      <c r="H57" s="196">
        <v>411658</v>
      </c>
    </row>
    <row r="58" spans="1:8" x14ac:dyDescent="0.25">
      <c r="A58" s="202" t="s">
        <v>342</v>
      </c>
      <c r="B58" s="198"/>
      <c r="C58" s="197">
        <v>-338860</v>
      </c>
      <c r="D58" s="196">
        <v>-351270</v>
      </c>
      <c r="E58" s="196">
        <v>-359629</v>
      </c>
      <c r="F58" s="196">
        <v>-365193</v>
      </c>
      <c r="G58" s="196">
        <v>-370699</v>
      </c>
      <c r="H58" s="196">
        <v>-376288</v>
      </c>
    </row>
    <row r="59" spans="1:8" x14ac:dyDescent="0.25">
      <c r="A59" s="202" t="s">
        <v>111</v>
      </c>
      <c r="B59" s="198"/>
      <c r="C59" s="197">
        <v>-76716</v>
      </c>
      <c r="D59" s="196">
        <v>-60388</v>
      </c>
      <c r="E59" s="196">
        <v>-52029</v>
      </c>
      <c r="F59" s="196">
        <v>-46465</v>
      </c>
      <c r="G59" s="196">
        <v>-40959</v>
      </c>
      <c r="H59" s="196">
        <v>-35370</v>
      </c>
    </row>
    <row r="60" spans="1:8" x14ac:dyDescent="0.25">
      <c r="A60" s="202" t="s">
        <v>112</v>
      </c>
      <c r="B60" s="198"/>
      <c r="C60" s="197"/>
      <c r="D60" s="196"/>
      <c r="E60" s="196"/>
      <c r="F60" s="196"/>
      <c r="G60" s="196"/>
      <c r="H60" s="196"/>
    </row>
    <row r="61" spans="1:8" s="17" customFormat="1" x14ac:dyDescent="0.25">
      <c r="A61" s="210" t="s">
        <v>6</v>
      </c>
      <c r="B61" s="210"/>
      <c r="C61" s="204">
        <f>SUM(C48:C60)</f>
        <v>-2418</v>
      </c>
      <c r="D61" s="204">
        <f>SUM(D48:D60)</f>
        <v>0</v>
      </c>
      <c r="E61" s="204">
        <f>SUM(E48:E60)</f>
        <v>0</v>
      </c>
      <c r="F61" s="204">
        <f>SUM(F48:F60)</f>
        <v>0</v>
      </c>
      <c r="G61" s="204">
        <f>SUM(G48:G60)</f>
        <v>0</v>
      </c>
      <c r="H61" s="204">
        <f>SUM(H48:H60)</f>
        <v>0</v>
      </c>
    </row>
    <row r="62" spans="1:8" s="17" customFormat="1" x14ac:dyDescent="0.25">
      <c r="A62" s="210"/>
      <c r="B62" s="210"/>
      <c r="C62" s="205"/>
      <c r="D62" s="204"/>
      <c r="E62" s="204"/>
      <c r="F62" s="204"/>
      <c r="G62" s="204"/>
      <c r="H62" s="204"/>
    </row>
    <row r="63" spans="1:8" s="17" customFormat="1" x14ac:dyDescent="0.25">
      <c r="A63" s="195" t="s">
        <v>7</v>
      </c>
      <c r="B63" s="195"/>
      <c r="C63" s="194">
        <f>C42-C61</f>
        <v>-98360</v>
      </c>
      <c r="D63" s="194">
        <f>D42-D61</f>
        <v>2811</v>
      </c>
      <c r="E63" s="194">
        <f>E42-E61</f>
        <v>194000</v>
      </c>
      <c r="F63" s="194">
        <f>F42-F61</f>
        <v>201000</v>
      </c>
      <c r="G63" s="194">
        <f>G42-G61</f>
        <v>226000</v>
      </c>
      <c r="H63" s="194">
        <f>H42-H61</f>
        <v>238000</v>
      </c>
    </row>
    <row r="64" spans="1:8" s="17" customFormat="1" x14ac:dyDescent="0.25">
      <c r="A64" s="210"/>
      <c r="B64" s="210"/>
      <c r="C64" s="205"/>
      <c r="D64" s="204"/>
      <c r="E64" s="204"/>
      <c r="F64" s="204"/>
      <c r="G64" s="204"/>
      <c r="H64" s="204"/>
    </row>
    <row r="65" spans="1:8" s="17" customFormat="1" x14ac:dyDescent="0.25">
      <c r="A65" s="210" t="s">
        <v>93</v>
      </c>
      <c r="B65" s="210"/>
      <c r="C65" s="205"/>
      <c r="D65" s="204"/>
      <c r="E65" s="204"/>
      <c r="F65" s="204"/>
      <c r="G65" s="204"/>
      <c r="H65" s="204"/>
    </row>
    <row r="66" spans="1:8" s="17" customFormat="1" x14ac:dyDescent="0.25">
      <c r="A66" s="209" t="s">
        <v>59</v>
      </c>
      <c r="B66" s="209" t="s">
        <v>50</v>
      </c>
      <c r="C66" s="205">
        <v>351270</v>
      </c>
      <c r="D66" s="205">
        <v>359629</v>
      </c>
      <c r="E66" s="196">
        <v>365193</v>
      </c>
      <c r="F66" s="196">
        <v>370699</v>
      </c>
      <c r="G66" s="196">
        <v>376288</v>
      </c>
      <c r="H66" s="205">
        <v>381880</v>
      </c>
    </row>
    <row r="67" spans="1:8" s="17" customFormat="1" x14ac:dyDescent="0.25">
      <c r="A67" s="209" t="s">
        <v>60</v>
      </c>
      <c r="B67" s="206" t="s">
        <v>129</v>
      </c>
      <c r="C67" s="205">
        <v>3441520</v>
      </c>
      <c r="D67" s="205">
        <f>C67-D66</f>
        <v>3081891</v>
      </c>
      <c r="E67" s="205">
        <f>D67-E66</f>
        <v>2716698</v>
      </c>
      <c r="F67" s="205">
        <f>E67-F66</f>
        <v>2345999</v>
      </c>
      <c r="G67" s="205">
        <f>F67-G66</f>
        <v>1969711</v>
      </c>
      <c r="H67" s="205">
        <f>G67-H66</f>
        <v>1587831</v>
      </c>
    </row>
    <row r="68" spans="1:8" ht="60" x14ac:dyDescent="0.25">
      <c r="A68" s="203" t="s">
        <v>61</v>
      </c>
      <c r="B68" s="208" t="s">
        <v>51</v>
      </c>
      <c r="C68" s="197"/>
      <c r="D68" s="196"/>
      <c r="E68" s="196"/>
      <c r="F68" s="196"/>
      <c r="G68" s="196"/>
      <c r="H68" s="196"/>
    </row>
    <row r="69" spans="1:8" x14ac:dyDescent="0.25">
      <c r="A69" s="203" t="s">
        <v>52</v>
      </c>
      <c r="B69" s="203" t="s">
        <v>62</v>
      </c>
      <c r="C69" s="197"/>
      <c r="D69" s="196"/>
      <c r="E69" s="196"/>
      <c r="F69" s="196"/>
      <c r="G69" s="196"/>
      <c r="H69" s="196"/>
    </row>
    <row r="70" spans="1:8" x14ac:dyDescent="0.25">
      <c r="A70" s="203" t="s">
        <v>63</v>
      </c>
      <c r="B70" s="203" t="s">
        <v>64</v>
      </c>
      <c r="C70" s="197"/>
      <c r="D70" s="196"/>
      <c r="E70" s="196"/>
      <c r="F70" s="196"/>
      <c r="G70" s="196"/>
      <c r="H70" s="196"/>
    </row>
    <row r="71" spans="1:8" x14ac:dyDescent="0.25">
      <c r="A71" s="203" t="s">
        <v>65</v>
      </c>
      <c r="B71" s="203" t="s">
        <v>66</v>
      </c>
      <c r="C71" s="197"/>
      <c r="D71" s="196"/>
      <c r="E71" s="196"/>
      <c r="F71" s="196"/>
      <c r="G71" s="196"/>
      <c r="H71" s="196"/>
    </row>
    <row r="72" spans="1:8" x14ac:dyDescent="0.25">
      <c r="A72" s="203" t="s">
        <v>67</v>
      </c>
      <c r="B72" s="203" t="s">
        <v>68</v>
      </c>
      <c r="C72" s="197"/>
      <c r="D72" s="196"/>
      <c r="E72" s="196"/>
      <c r="F72" s="196"/>
      <c r="G72" s="196"/>
      <c r="H72" s="196"/>
    </row>
    <row r="73" spans="1:8" x14ac:dyDescent="0.25">
      <c r="A73" s="203" t="s">
        <v>53</v>
      </c>
      <c r="B73" s="203" t="s">
        <v>69</v>
      </c>
      <c r="C73" s="197"/>
      <c r="D73" s="196"/>
      <c r="E73" s="196"/>
      <c r="F73" s="196"/>
      <c r="G73" s="196"/>
      <c r="H73" s="196"/>
    </row>
    <row r="74" spans="1:8" x14ac:dyDescent="0.25">
      <c r="A74" s="203" t="s">
        <v>70</v>
      </c>
      <c r="B74" s="203" t="s">
        <v>71</v>
      </c>
      <c r="C74" s="197"/>
      <c r="D74" s="196"/>
      <c r="E74" s="196"/>
      <c r="F74" s="196"/>
      <c r="G74" s="196"/>
      <c r="H74" s="196"/>
    </row>
    <row r="75" spans="1:8" x14ac:dyDescent="0.25">
      <c r="A75" s="203" t="s">
        <v>54</v>
      </c>
      <c r="B75" s="203" t="s">
        <v>58</v>
      </c>
      <c r="C75" s="197"/>
      <c r="D75" s="196"/>
      <c r="E75" s="196"/>
      <c r="F75" s="196"/>
      <c r="G75" s="196"/>
      <c r="H75" s="196"/>
    </row>
    <row r="76" spans="1:8" x14ac:dyDescent="0.25">
      <c r="A76" s="203" t="s">
        <v>55</v>
      </c>
      <c r="B76" s="203" t="s">
        <v>72</v>
      </c>
      <c r="C76" s="197">
        <v>-3206036</v>
      </c>
      <c r="D76" s="196">
        <f>C76+D66</f>
        <v>-2846407</v>
      </c>
      <c r="E76" s="196">
        <f>D76+E66</f>
        <v>-2481214</v>
      </c>
      <c r="F76" s="196">
        <f>E76+F66</f>
        <v>-2110515</v>
      </c>
      <c r="G76" s="196">
        <f>F76+G66</f>
        <v>-1734227</v>
      </c>
      <c r="H76" s="196">
        <f>G76+H66</f>
        <v>-1352347</v>
      </c>
    </row>
    <row r="77" spans="1:8" ht="45" x14ac:dyDescent="0.25">
      <c r="A77" s="203" t="s">
        <v>73</v>
      </c>
      <c r="B77" s="208" t="s">
        <v>74</v>
      </c>
      <c r="C77" s="197"/>
      <c r="D77" s="196"/>
      <c r="E77" s="196"/>
      <c r="F77" s="196"/>
      <c r="G77" s="196"/>
      <c r="H77" s="196"/>
    </row>
    <row r="78" spans="1:8" x14ac:dyDescent="0.25">
      <c r="A78" s="203" t="s">
        <v>56</v>
      </c>
      <c r="B78" s="203" t="s">
        <v>75</v>
      </c>
      <c r="C78" s="197"/>
      <c r="D78" s="196"/>
      <c r="E78" s="196"/>
      <c r="F78" s="196"/>
      <c r="G78" s="196"/>
      <c r="H78" s="196"/>
    </row>
    <row r="79" spans="1:8" x14ac:dyDescent="0.25">
      <c r="A79" s="203" t="s">
        <v>76</v>
      </c>
      <c r="B79" s="203" t="s">
        <v>77</v>
      </c>
      <c r="C79" s="197">
        <v>2871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</row>
    <row r="80" spans="1:8" ht="15" customHeight="1" x14ac:dyDescent="0.25">
      <c r="A80" s="203" t="s">
        <v>57</v>
      </c>
      <c r="B80" s="203" t="s">
        <v>78</v>
      </c>
      <c r="C80" s="197"/>
      <c r="D80" s="196"/>
      <c r="E80" s="196"/>
      <c r="F80" s="196"/>
      <c r="G80" s="196"/>
      <c r="H80" s="196"/>
    </row>
    <row r="81" spans="1:8" x14ac:dyDescent="0.25">
      <c r="A81" s="198" t="s">
        <v>8</v>
      </c>
      <c r="B81" s="198"/>
      <c r="C81" s="196">
        <f>SUM(C66:C80)</f>
        <v>589625</v>
      </c>
      <c r="D81" s="196">
        <f>SUM(D66:D80)</f>
        <v>595113</v>
      </c>
      <c r="E81" s="196">
        <f>SUM(E66:E80)</f>
        <v>600677</v>
      </c>
      <c r="F81" s="196">
        <f>SUM(F66:F80)</f>
        <v>606183</v>
      </c>
      <c r="G81" s="196">
        <f>SUM(G66:G80)</f>
        <v>611772</v>
      </c>
      <c r="H81" s="196">
        <f>SUM(H66:H80)</f>
        <v>617364</v>
      </c>
    </row>
    <row r="82" spans="1:8" x14ac:dyDescent="0.25">
      <c r="A82" s="198"/>
      <c r="B82" s="198"/>
      <c r="C82" s="197"/>
      <c r="D82" s="196"/>
      <c r="E82" s="196"/>
      <c r="F82" s="196"/>
      <c r="G82" s="196"/>
      <c r="H82" s="196"/>
    </row>
    <row r="83" spans="1:8" s="17" customFormat="1" x14ac:dyDescent="0.25">
      <c r="A83" s="200" t="s">
        <v>125</v>
      </c>
      <c r="B83" s="207" t="s">
        <v>124</v>
      </c>
      <c r="C83" s="199">
        <v>583883</v>
      </c>
      <c r="D83" s="201">
        <v>595113</v>
      </c>
      <c r="E83" s="201">
        <v>600677</v>
      </c>
      <c r="F83" s="201">
        <v>606183</v>
      </c>
      <c r="G83" s="201">
        <v>611772</v>
      </c>
      <c r="H83" s="201">
        <v>617364</v>
      </c>
    </row>
    <row r="84" spans="1:8" x14ac:dyDescent="0.25">
      <c r="A84" s="198"/>
      <c r="B84" s="198"/>
      <c r="C84" s="197"/>
      <c r="D84" s="196"/>
      <c r="E84" s="196"/>
      <c r="F84" s="196"/>
      <c r="G84" s="196"/>
      <c r="H84" s="196"/>
    </row>
    <row r="85" spans="1:8" x14ac:dyDescent="0.25">
      <c r="A85" s="198" t="s">
        <v>341</v>
      </c>
      <c r="B85" s="198"/>
      <c r="C85" s="197"/>
      <c r="D85" s="196"/>
      <c r="E85" s="196"/>
      <c r="F85" s="196"/>
      <c r="G85" s="196"/>
      <c r="H85" s="196"/>
    </row>
    <row r="86" spans="1:8" s="17" customFormat="1" x14ac:dyDescent="0.25">
      <c r="A86" s="206" t="s">
        <v>9</v>
      </c>
      <c r="B86" s="206" t="s">
        <v>80</v>
      </c>
      <c r="C86" s="205">
        <v>-4060</v>
      </c>
      <c r="D86" s="204">
        <v>-4000</v>
      </c>
      <c r="E86" s="204">
        <v>-4000</v>
      </c>
      <c r="F86" s="204">
        <v>-4000</v>
      </c>
      <c r="G86" s="204">
        <v>-4000</v>
      </c>
      <c r="H86" s="204">
        <v>-4000</v>
      </c>
    </row>
    <row r="87" spans="1:8" x14ac:dyDescent="0.25">
      <c r="A87" s="203" t="s">
        <v>88</v>
      </c>
      <c r="B87" s="202" t="s">
        <v>81</v>
      </c>
      <c r="C87" s="197"/>
      <c r="D87" s="196"/>
      <c r="E87" s="196"/>
      <c r="F87" s="196"/>
      <c r="G87" s="196"/>
      <c r="H87" s="196"/>
    </row>
    <row r="88" spans="1:8" x14ac:dyDescent="0.25">
      <c r="A88" s="203" t="s">
        <v>88</v>
      </c>
      <c r="B88" s="202" t="s">
        <v>82</v>
      </c>
      <c r="C88" s="197"/>
      <c r="D88" s="196"/>
      <c r="E88" s="196"/>
      <c r="F88" s="196"/>
      <c r="G88" s="196"/>
      <c r="H88" s="196"/>
    </row>
    <row r="89" spans="1:8" x14ac:dyDescent="0.25">
      <c r="A89" s="203" t="s">
        <v>89</v>
      </c>
      <c r="B89" s="202" t="s">
        <v>83</v>
      </c>
      <c r="C89" s="197"/>
      <c r="D89" s="196"/>
      <c r="E89" s="196"/>
      <c r="F89" s="196"/>
      <c r="G89" s="196"/>
      <c r="H89" s="196"/>
    </row>
    <row r="90" spans="1:8" x14ac:dyDescent="0.25">
      <c r="A90" s="203" t="s">
        <v>90</v>
      </c>
      <c r="B90" s="202" t="s">
        <v>84</v>
      </c>
      <c r="C90" s="197"/>
      <c r="D90" s="196"/>
      <c r="E90" s="196"/>
      <c r="F90" s="196"/>
      <c r="G90" s="196"/>
      <c r="H90" s="196"/>
    </row>
    <row r="91" spans="1:8" x14ac:dyDescent="0.25">
      <c r="A91" s="203" t="s">
        <v>79</v>
      </c>
      <c r="B91" s="202" t="s">
        <v>85</v>
      </c>
      <c r="C91" s="197"/>
      <c r="D91" s="196"/>
      <c r="E91" s="196"/>
      <c r="F91" s="196"/>
      <c r="G91" s="196"/>
      <c r="H91" s="196"/>
    </row>
    <row r="92" spans="1:8" x14ac:dyDescent="0.25">
      <c r="A92" s="203" t="s">
        <v>91</v>
      </c>
      <c r="B92" s="202" t="s">
        <v>86</v>
      </c>
      <c r="C92" s="197"/>
      <c r="D92" s="196"/>
      <c r="E92" s="196"/>
      <c r="F92" s="196"/>
      <c r="G92" s="196"/>
      <c r="H92" s="196"/>
    </row>
    <row r="93" spans="1:8" x14ac:dyDescent="0.25">
      <c r="A93" s="203" t="s">
        <v>92</v>
      </c>
      <c r="B93" s="202" t="s">
        <v>87</v>
      </c>
      <c r="C93" s="197"/>
      <c r="D93" s="196"/>
      <c r="E93" s="196"/>
      <c r="F93" s="196"/>
      <c r="G93" s="196"/>
      <c r="H93" s="196"/>
    </row>
    <row r="94" spans="1:8" x14ac:dyDescent="0.25">
      <c r="A94" s="198" t="s">
        <v>10</v>
      </c>
      <c r="B94" s="198"/>
      <c r="C94" s="196">
        <f>SUM(C86:C93)</f>
        <v>-4060</v>
      </c>
      <c r="D94" s="196">
        <f>SUM(D86:D93)</f>
        <v>-4000</v>
      </c>
      <c r="E94" s="196">
        <f>SUM(E86:E93)</f>
        <v>-4000</v>
      </c>
      <c r="F94" s="196">
        <f>SUM(F86:F93)</f>
        <v>-4000</v>
      </c>
      <c r="G94" s="196">
        <f>SUM(G86:G93)</f>
        <v>-4000</v>
      </c>
      <c r="H94" s="196">
        <f>SUM(H86:H93)</f>
        <v>-4000</v>
      </c>
    </row>
    <row r="95" spans="1:8" x14ac:dyDescent="0.25">
      <c r="A95" s="198"/>
      <c r="B95" s="198"/>
      <c r="C95" s="197"/>
      <c r="D95" s="196"/>
      <c r="E95" s="196"/>
      <c r="F95" s="196"/>
      <c r="G95" s="196"/>
      <c r="H95" s="196"/>
    </row>
    <row r="96" spans="1:8" s="17" customFormat="1" x14ac:dyDescent="0.25">
      <c r="A96" s="200" t="s">
        <v>121</v>
      </c>
      <c r="B96" s="200" t="s">
        <v>126</v>
      </c>
      <c r="C96" s="199">
        <v>4060</v>
      </c>
      <c r="D96" s="201">
        <v>4000</v>
      </c>
      <c r="E96" s="201">
        <v>4000</v>
      </c>
      <c r="F96" s="201">
        <v>4000</v>
      </c>
      <c r="G96" s="201">
        <v>4000</v>
      </c>
      <c r="H96" s="201">
        <v>4000</v>
      </c>
    </row>
    <row r="97" spans="1:8" s="17" customFormat="1" x14ac:dyDescent="0.25">
      <c r="A97" s="200" t="s">
        <v>122</v>
      </c>
      <c r="B97" s="200" t="s">
        <v>127</v>
      </c>
      <c r="C97" s="199">
        <v>7056094</v>
      </c>
      <c r="D97" s="201">
        <v>7056094</v>
      </c>
      <c r="E97" s="201">
        <v>7056094</v>
      </c>
      <c r="F97" s="201">
        <v>7056094</v>
      </c>
      <c r="G97" s="201">
        <v>7056094</v>
      </c>
      <c r="H97" s="201">
        <v>7056094</v>
      </c>
    </row>
    <row r="98" spans="1:8" s="17" customFormat="1" x14ac:dyDescent="0.25">
      <c r="A98" s="200" t="s">
        <v>131</v>
      </c>
      <c r="B98" s="200"/>
      <c r="C98" s="199"/>
      <c r="D98" s="201"/>
      <c r="E98" s="201"/>
      <c r="F98" s="201"/>
      <c r="G98" s="201"/>
      <c r="H98" s="201"/>
    </row>
    <row r="99" spans="1:8" s="17" customFormat="1" x14ac:dyDescent="0.25">
      <c r="A99" s="200" t="s">
        <v>123</v>
      </c>
      <c r="B99" s="200" t="s">
        <v>128</v>
      </c>
      <c r="C99" s="199">
        <f>C96+C97</f>
        <v>7060154</v>
      </c>
      <c r="D99" s="199">
        <f>D96+D97</f>
        <v>7060094</v>
      </c>
      <c r="E99" s="199">
        <f>E96+E97</f>
        <v>7060094</v>
      </c>
      <c r="F99" s="199">
        <f>F96+F97</f>
        <v>7060094</v>
      </c>
      <c r="G99" s="199">
        <f>G96+G97</f>
        <v>7060094</v>
      </c>
      <c r="H99" s="199">
        <f>H96+H97</f>
        <v>7060094</v>
      </c>
    </row>
    <row r="100" spans="1:8" x14ac:dyDescent="0.25">
      <c r="A100" s="198"/>
      <c r="B100" s="198"/>
      <c r="C100" s="197"/>
      <c r="D100" s="196"/>
      <c r="E100" s="196"/>
      <c r="F100" s="196"/>
      <c r="G100" s="196"/>
      <c r="H100" s="196"/>
    </row>
    <row r="101" spans="1:8" x14ac:dyDescent="0.25">
      <c r="A101" s="195" t="s">
        <v>11</v>
      </c>
      <c r="B101" s="195"/>
      <c r="C101" s="194">
        <f>C81+C94</f>
        <v>585565</v>
      </c>
      <c r="D101" s="194">
        <f>D81+D94</f>
        <v>591113</v>
      </c>
      <c r="E101" s="194">
        <f>E81+E94</f>
        <v>596677</v>
      </c>
      <c r="F101" s="194">
        <f>F81+F94</f>
        <v>602183</v>
      </c>
      <c r="G101" s="194">
        <f>G81+G94</f>
        <v>607772</v>
      </c>
      <c r="H101" s="194">
        <f>H81+H94</f>
        <v>613364</v>
      </c>
    </row>
    <row r="102" spans="1:8" x14ac:dyDescent="0.25">
      <c r="A102" s="193" t="s">
        <v>3</v>
      </c>
      <c r="B102" s="193"/>
      <c r="C102" s="192">
        <f>C101/C16</f>
        <v>0.31148963288199388</v>
      </c>
      <c r="D102" s="192">
        <f>D101/D16</f>
        <v>0.26714931153281402</v>
      </c>
      <c r="E102" s="192">
        <f>E101/E16</f>
        <v>0.2418633968382651</v>
      </c>
      <c r="F102" s="192">
        <f>F101/F16</f>
        <v>0.23858280507131538</v>
      </c>
      <c r="G102" s="192">
        <f>G101/G16</f>
        <v>0.23768947985921002</v>
      </c>
      <c r="H102" s="192">
        <f>H101/H16</f>
        <v>0.2393148653921186</v>
      </c>
    </row>
    <row r="103" spans="1:8" x14ac:dyDescent="0.25">
      <c r="A103" s="27"/>
      <c r="B103" s="27"/>
      <c r="C103" s="28"/>
      <c r="D103" s="28"/>
      <c r="E103" s="28"/>
      <c r="F103" s="28"/>
      <c r="G103" s="28"/>
      <c r="H103" s="28"/>
    </row>
    <row r="104" spans="1:8" x14ac:dyDescent="0.25">
      <c r="A104" s="101" t="s">
        <v>340</v>
      </c>
      <c r="B104" s="101"/>
      <c r="C104" s="101"/>
      <c r="D104" s="101"/>
      <c r="E104" s="101"/>
      <c r="F104" s="101"/>
      <c r="G104" s="101"/>
      <c r="H104" s="101"/>
    </row>
    <row r="105" spans="1:8" x14ac:dyDescent="0.25">
      <c r="A105" s="32" t="s">
        <v>339</v>
      </c>
    </row>
    <row r="106" spans="1:8" ht="30" customHeight="1" x14ac:dyDescent="0.25">
      <c r="A106" s="100" t="s">
        <v>94</v>
      </c>
      <c r="B106" s="100"/>
      <c r="C106" s="100"/>
      <c r="D106" s="100"/>
      <c r="E106" s="100"/>
      <c r="F106" s="100"/>
      <c r="G106" s="100"/>
      <c r="H106" s="100"/>
    </row>
    <row r="107" spans="1:8" ht="45.75" customHeight="1" x14ac:dyDescent="0.25">
      <c r="A107" s="100" t="s">
        <v>95</v>
      </c>
      <c r="B107" s="100"/>
      <c r="C107" s="100"/>
      <c r="D107" s="100"/>
      <c r="E107" s="100"/>
      <c r="F107" s="100"/>
      <c r="G107" s="100"/>
      <c r="H107" s="100"/>
    </row>
    <row r="108" spans="1:8" ht="30" customHeight="1" x14ac:dyDescent="0.25">
      <c r="A108" s="100" t="s">
        <v>96</v>
      </c>
      <c r="B108" s="100"/>
      <c r="C108" s="100"/>
      <c r="D108" s="100"/>
      <c r="E108" s="100"/>
      <c r="F108" s="100"/>
      <c r="G108" s="100"/>
      <c r="H108" s="100"/>
    </row>
    <row r="109" spans="1:8" ht="30" customHeight="1" x14ac:dyDescent="0.25">
      <c r="A109" s="100" t="s">
        <v>97</v>
      </c>
      <c r="B109" s="100"/>
      <c r="C109" s="100"/>
      <c r="D109" s="100"/>
      <c r="E109" s="100"/>
      <c r="F109" s="100"/>
      <c r="G109" s="100"/>
      <c r="H109" s="100"/>
    </row>
    <row r="110" spans="1:8" x14ac:dyDescent="0.25">
      <c r="A110" s="100" t="s">
        <v>98</v>
      </c>
      <c r="B110" s="100"/>
      <c r="C110" s="100"/>
      <c r="D110" s="100"/>
      <c r="E110" s="100"/>
      <c r="F110" s="100"/>
      <c r="G110" s="100"/>
      <c r="H110" s="100"/>
    </row>
    <row r="111" spans="1:8" x14ac:dyDescent="0.25">
      <c r="A111" s="100" t="s">
        <v>99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100</v>
      </c>
      <c r="B112" s="100"/>
      <c r="C112" s="100"/>
      <c r="D112" s="100"/>
      <c r="E112" s="100"/>
      <c r="F112" s="100"/>
      <c r="G112" s="100"/>
      <c r="H112" s="100"/>
    </row>
    <row r="113" spans="1:8" ht="30" customHeight="1" x14ac:dyDescent="0.25">
      <c r="A113" s="100" t="s">
        <v>101</v>
      </c>
      <c r="B113" s="100"/>
      <c r="C113" s="100"/>
      <c r="D113" s="100"/>
      <c r="E113" s="100"/>
      <c r="F113" s="100"/>
      <c r="G113" s="100"/>
      <c r="H113" s="100"/>
    </row>
    <row r="114" spans="1:8" ht="30" customHeight="1" x14ac:dyDescent="0.25">
      <c r="A114" s="100" t="s">
        <v>102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103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104</v>
      </c>
      <c r="B116" s="100"/>
      <c r="C116" s="100"/>
      <c r="D116" s="100"/>
      <c r="E116" s="100"/>
      <c r="F116" s="100"/>
      <c r="G116" s="100"/>
      <c r="H116" s="100"/>
    </row>
    <row r="117" spans="1:8" x14ac:dyDescent="0.25">
      <c r="A117" s="100" t="s">
        <v>105</v>
      </c>
      <c r="B117" s="100"/>
      <c r="C117" s="100"/>
      <c r="D117" s="100"/>
      <c r="E117" s="100"/>
      <c r="F117" s="100"/>
      <c r="G117" s="100"/>
      <c r="H117" s="100"/>
    </row>
    <row r="118" spans="1:8" x14ac:dyDescent="0.25">
      <c r="A118" s="100" t="s">
        <v>106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B119" s="12"/>
    </row>
    <row r="120" spans="1:8" x14ac:dyDescent="0.25">
      <c r="A120" s="31" t="s">
        <v>158</v>
      </c>
      <c r="B120" s="395"/>
      <c r="C120" s="395"/>
    </row>
    <row r="123" spans="1:8" x14ac:dyDescent="0.25">
      <c r="A123" s="14"/>
      <c r="B123" s="14"/>
    </row>
    <row r="126" spans="1:8" x14ac:dyDescent="0.25">
      <c r="A126" s="12"/>
    </row>
    <row r="127" spans="1:8" x14ac:dyDescent="0.25">
      <c r="A127" s="12"/>
    </row>
    <row r="128" spans="1:8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</sheetData>
  <mergeCells count="14">
    <mergeCell ref="A111:H111"/>
    <mergeCell ref="A110:H110"/>
    <mergeCell ref="A109:H109"/>
    <mergeCell ref="A108:H108"/>
    <mergeCell ref="A118:H118"/>
    <mergeCell ref="A104:H104"/>
    <mergeCell ref="A106:H106"/>
    <mergeCell ref="A107:H107"/>
    <mergeCell ref="A117:H117"/>
    <mergeCell ref="A116:H116"/>
    <mergeCell ref="A115:H115"/>
    <mergeCell ref="A114:H114"/>
    <mergeCell ref="A113:H113"/>
    <mergeCell ref="A112:H112"/>
  </mergeCells>
  <pageMargins left="0.22" right="0.16" top="0.32" bottom="0.19" header="0.31496062992125984" footer="0.17"/>
  <pageSetup paperSize="9" scale="4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6"/>
  <sheetViews>
    <sheetView workbookViewId="0">
      <pane xSplit="4" ySplit="4" topLeftCell="E5" activePane="bottomRight" state="frozen"/>
      <selection activeCell="D1" sqref="D1"/>
      <selection pane="topRight" activeCell="E1" sqref="E1"/>
      <selection pane="bottomLeft" activeCell="D4" sqref="D4"/>
      <selection pane="bottomRight" activeCell="M48" sqref="M48"/>
    </sheetView>
  </sheetViews>
  <sheetFormatPr defaultRowHeight="15" outlineLevelRow="1" outlineLevelCol="1" x14ac:dyDescent="0.25"/>
  <cols>
    <col min="1" max="3" width="9.140625" style="32" hidden="1" customWidth="1" outlineLevel="1"/>
    <col min="4" max="4" width="14" style="32" customWidth="1" collapsed="1"/>
    <col min="5" max="26" width="8.7109375" style="32" customWidth="1"/>
    <col min="27" max="28" width="7.28515625" style="32" customWidth="1"/>
    <col min="29" max="29" width="8.7109375" style="32" customWidth="1"/>
    <col min="30" max="16384" width="9.140625" style="32"/>
  </cols>
  <sheetData>
    <row r="1" spans="1:33" ht="23.25" customHeight="1" thickBot="1" x14ac:dyDescent="0.3">
      <c r="E1" s="523"/>
    </row>
    <row r="2" spans="1:33" s="407" customFormat="1" ht="12" thickBot="1" x14ac:dyDescent="0.25">
      <c r="B2" s="413" t="str">
        <f>IF(D3="Aasta",D2,0)</f>
        <v>SA Virumaa Muuseumid</v>
      </c>
      <c r="C2" s="412" t="str">
        <f>CONCATENATE(B2," - ",D2,A2)</f>
        <v>SA Virumaa Muuseumid - SA Virumaa Muuseumid</v>
      </c>
      <c r="D2" s="522" t="s">
        <v>360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0"/>
      <c r="U2" s="519" t="s">
        <v>307</v>
      </c>
      <c r="V2" s="412"/>
      <c r="W2" s="518"/>
      <c r="X2" s="517" t="s">
        <v>306</v>
      </c>
      <c r="Y2" s="516"/>
      <c r="Z2" s="516" t="e">
        <f>IF(VLOOKUP(D2,[1]Esileht!E:G,3,FALSE)=1,"valitsussektoris",IF(VLOOKUP(D2,[1]Esileht!E:G,3,FALSE)=2,"ei ole valitsussektoris","???"))</f>
        <v>#N/A</v>
      </c>
      <c r="AA2" s="516"/>
      <c r="AB2" s="516"/>
      <c r="AC2" s="516"/>
    </row>
    <row r="3" spans="1:33" s="407" customFormat="1" ht="12.75" customHeight="1" x14ac:dyDescent="0.2">
      <c r="B3" s="413" t="str">
        <f>IF(D4="Aasta",D3,B2)</f>
        <v>SA Virumaa Muuseumid</v>
      </c>
      <c r="C3" s="412" t="str">
        <f>CONCATENATE(B3," - ",D3,A3)</f>
        <v>SA Virumaa Muuseumid - Aasta</v>
      </c>
      <c r="D3" s="515" t="s">
        <v>305</v>
      </c>
      <c r="E3" s="513" t="s">
        <v>304</v>
      </c>
      <c r="F3" s="512"/>
      <c r="G3" s="511"/>
      <c r="H3" s="513" t="s">
        <v>133</v>
      </c>
      <c r="I3" s="512"/>
      <c r="J3" s="511"/>
      <c r="K3" s="514" t="s">
        <v>130</v>
      </c>
      <c r="L3" s="513" t="s">
        <v>303</v>
      </c>
      <c r="M3" s="512"/>
      <c r="N3" s="512"/>
      <c r="O3" s="512"/>
      <c r="P3" s="513" t="s">
        <v>302</v>
      </c>
      <c r="Q3" s="512"/>
      <c r="R3" s="511"/>
      <c r="S3" s="508" t="s">
        <v>131</v>
      </c>
      <c r="T3" s="510" t="s">
        <v>301</v>
      </c>
      <c r="U3" s="509" t="s">
        <v>300</v>
      </c>
      <c r="V3" s="508" t="s">
        <v>131</v>
      </c>
      <c r="W3" s="507" t="s">
        <v>122</v>
      </c>
      <c r="X3" s="506" t="s">
        <v>299</v>
      </c>
      <c r="Y3" s="505" t="s">
        <v>297</v>
      </c>
      <c r="Z3" s="505" t="s">
        <v>298</v>
      </c>
      <c r="AA3" s="504" t="s">
        <v>297</v>
      </c>
      <c r="AB3" s="503" t="s">
        <v>296</v>
      </c>
      <c r="AC3" s="502" t="s">
        <v>295</v>
      </c>
    </row>
    <row r="4" spans="1:33" s="407" customFormat="1" ht="34.5" thickBot="1" x14ac:dyDescent="0.25">
      <c r="B4" s="413" t="e">
        <f>IF(#REF!="Aasta",D4,B3)</f>
        <v>#REF!</v>
      </c>
      <c r="C4" s="412" t="e">
        <f>CONCATENATE(B4," - ",D4,A4)</f>
        <v>#REF!</v>
      </c>
      <c r="D4" s="501"/>
      <c r="E4" s="500" t="s">
        <v>287</v>
      </c>
      <c r="F4" s="499" t="s">
        <v>294</v>
      </c>
      <c r="G4" s="498" t="s">
        <v>293</v>
      </c>
      <c r="H4" s="494" t="s">
        <v>287</v>
      </c>
      <c r="I4" s="492" t="s">
        <v>292</v>
      </c>
      <c r="J4" s="497" t="s">
        <v>291</v>
      </c>
      <c r="K4" s="496"/>
      <c r="L4" s="495" t="s">
        <v>287</v>
      </c>
      <c r="M4" s="492" t="s">
        <v>290</v>
      </c>
      <c r="N4" s="492" t="s">
        <v>289</v>
      </c>
      <c r="O4" s="494" t="s">
        <v>288</v>
      </c>
      <c r="P4" s="493" t="s">
        <v>287</v>
      </c>
      <c r="Q4" s="492" t="s">
        <v>286</v>
      </c>
      <c r="R4" s="491" t="s">
        <v>285</v>
      </c>
      <c r="S4" s="488"/>
      <c r="T4" s="490"/>
      <c r="U4" s="489"/>
      <c r="V4" s="488"/>
      <c r="W4" s="487"/>
      <c r="X4" s="486"/>
      <c r="Y4" s="485"/>
      <c r="Z4" s="485"/>
      <c r="AA4" s="484"/>
      <c r="AB4" s="483"/>
      <c r="AC4" s="482"/>
    </row>
    <row r="5" spans="1:33" s="407" customFormat="1" ht="11.25" hidden="1" outlineLevel="1" x14ac:dyDescent="0.2">
      <c r="A5" s="477" t="s">
        <v>283</v>
      </c>
      <c r="B5" s="413" t="e">
        <f>IF(D6="Aasta",D5,#REF!)</f>
        <v>#REF!</v>
      </c>
      <c r="C5" s="412" t="e">
        <f>CONCATENATE(B5," - ",D5,A5)</f>
        <v>#REF!</v>
      </c>
      <c r="D5" s="464">
        <v>2006</v>
      </c>
      <c r="E5" s="461"/>
      <c r="F5" s="460"/>
      <c r="G5" s="459"/>
      <c r="H5" s="463"/>
      <c r="I5" s="458"/>
      <c r="J5" s="462"/>
      <c r="K5" s="457"/>
      <c r="L5" s="463"/>
      <c r="M5" s="460"/>
      <c r="N5" s="460"/>
      <c r="O5" s="462"/>
      <c r="P5" s="461"/>
      <c r="Q5" s="460"/>
      <c r="R5" s="459"/>
      <c r="S5" s="458"/>
      <c r="T5" s="457"/>
      <c r="U5" s="456">
        <f>L5-P5-S5</f>
        <v>0</v>
      </c>
      <c r="V5" s="455"/>
      <c r="W5" s="481"/>
      <c r="X5" s="453">
        <f>L5-M5-N5</f>
        <v>0</v>
      </c>
      <c r="Y5" s="452">
        <f>IF(L5=0,0,(S5-#REF!)-(X5-#REF!))</f>
        <v>0</v>
      </c>
      <c r="Z5" s="450">
        <f>M5+N5</f>
        <v>0</v>
      </c>
      <c r="AA5" s="451">
        <f>IF(L5=0,0,(Z5-#REF!)-(P5-#REF!))</f>
        <v>0</v>
      </c>
      <c r="AB5" s="465">
        <f>AA5-Y5</f>
        <v>0</v>
      </c>
      <c r="AC5" s="449">
        <f>IF(L5=0,0,#REF!-R5)</f>
        <v>0</v>
      </c>
    </row>
    <row r="6" spans="1:33" s="407" customFormat="1" ht="11.25" hidden="1" outlineLevel="1" x14ac:dyDescent="0.2">
      <c r="B6" s="413" t="e">
        <f>IF(D7="Aasta",D6,B5)</f>
        <v>#REF!</v>
      </c>
      <c r="C6" s="412" t="e">
        <f>CONCATENATE(B6," - ",D6,A6)</f>
        <v>#REF!</v>
      </c>
      <c r="D6" s="469">
        <v>2006</v>
      </c>
      <c r="E6" s="474"/>
      <c r="F6" s="473"/>
      <c r="G6" s="472"/>
      <c r="H6" s="476"/>
      <c r="I6" s="471"/>
      <c r="J6" s="475"/>
      <c r="K6" s="470"/>
      <c r="L6" s="476"/>
      <c r="M6" s="473"/>
      <c r="N6" s="473"/>
      <c r="O6" s="475"/>
      <c r="P6" s="474"/>
      <c r="Q6" s="473"/>
      <c r="R6" s="472"/>
      <c r="S6" s="471"/>
      <c r="T6" s="470"/>
      <c r="U6" s="479">
        <f>L6-P6-S6</f>
        <v>0</v>
      </c>
      <c r="V6" s="471">
        <f>IF(S6="",0,#REF!+K6-S6)</f>
        <v>0</v>
      </c>
      <c r="W6" s="478">
        <f>IF(T6="",0,#REF!-#REF!+T6-J6-L6+O6)</f>
        <v>0</v>
      </c>
      <c r="X6" s="453">
        <f>L6-M6-N6</f>
        <v>0</v>
      </c>
      <c r="Y6" s="452">
        <f>IF(L6=0,0,(S6-#REF!)-(X6-#REF!))</f>
        <v>0</v>
      </c>
      <c r="Z6" s="450">
        <f>M6+N6</f>
        <v>0</v>
      </c>
      <c r="AA6" s="451">
        <f>IF(L6=0,0,(Z6-#REF!)-(P6-#REF!))</f>
        <v>0</v>
      </c>
      <c r="AB6" s="465">
        <f>AA6-Y6</f>
        <v>0</v>
      </c>
      <c r="AC6" s="449">
        <f>IF(L6=0,0,#REF!-R6)</f>
        <v>0</v>
      </c>
    </row>
    <row r="7" spans="1:33" s="407" customFormat="1" ht="11.25" hidden="1" outlineLevel="1" x14ac:dyDescent="0.2">
      <c r="A7" s="477" t="s">
        <v>283</v>
      </c>
      <c r="B7" s="413" t="e">
        <f>IF(D8="Aasta",D7,B6)</f>
        <v>#REF!</v>
      </c>
      <c r="C7" s="412" t="e">
        <f>CONCATENATE(B7," - ",D7,A7)</f>
        <v>#REF!</v>
      </c>
      <c r="D7" s="464">
        <v>2007</v>
      </c>
      <c r="E7" s="461"/>
      <c r="F7" s="460"/>
      <c r="G7" s="459"/>
      <c r="H7" s="463"/>
      <c r="I7" s="458"/>
      <c r="J7" s="462"/>
      <c r="K7" s="457"/>
      <c r="L7" s="463"/>
      <c r="M7" s="460"/>
      <c r="N7" s="460"/>
      <c r="O7" s="462"/>
      <c r="P7" s="461"/>
      <c r="Q7" s="460"/>
      <c r="R7" s="459"/>
      <c r="S7" s="458"/>
      <c r="T7" s="457"/>
      <c r="U7" s="456">
        <f>L7-P7-S7</f>
        <v>0</v>
      </c>
      <c r="V7" s="455">
        <f>IF(S7="",0,S6+K7-S7)</f>
        <v>0</v>
      </c>
      <c r="W7" s="454">
        <f>IF(T7="",0,L6-O6+T7-J7-L7+O7)</f>
        <v>0</v>
      </c>
      <c r="X7" s="453">
        <f>L7-M7-N7</f>
        <v>0</v>
      </c>
      <c r="Y7" s="452">
        <f>IF(L7=0,0,(S7-S6)-(X7-X6))</f>
        <v>0</v>
      </c>
      <c r="Z7" s="450">
        <f>M7+N7</f>
        <v>0</v>
      </c>
      <c r="AA7" s="451">
        <f>IF(L7=0,0,(Z7-Z6)-(P7-P6))</f>
        <v>0</v>
      </c>
      <c r="AB7" s="465">
        <f>AA7-Y7</f>
        <v>0</v>
      </c>
      <c r="AC7" s="449">
        <f>IF(L7=0,0,R6-R7)</f>
        <v>0</v>
      </c>
    </row>
    <row r="8" spans="1:33" s="407" customFormat="1" ht="11.25" hidden="1" outlineLevel="1" x14ac:dyDescent="0.2">
      <c r="A8" s="480"/>
      <c r="B8" s="413" t="e">
        <f>IF(D9="Aasta",D8,B7)</f>
        <v>#REF!</v>
      </c>
      <c r="C8" s="412" t="e">
        <f>CONCATENATE(B8," - ",D8,A8)</f>
        <v>#REF!</v>
      </c>
      <c r="D8" s="469">
        <v>2007</v>
      </c>
      <c r="E8" s="474"/>
      <c r="F8" s="473"/>
      <c r="G8" s="472"/>
      <c r="H8" s="476"/>
      <c r="I8" s="471"/>
      <c r="J8" s="475"/>
      <c r="K8" s="470"/>
      <c r="L8" s="476"/>
      <c r="M8" s="473"/>
      <c r="N8" s="473"/>
      <c r="O8" s="475"/>
      <c r="P8" s="474"/>
      <c r="Q8" s="473"/>
      <c r="R8" s="472"/>
      <c r="S8" s="471"/>
      <c r="T8" s="470"/>
      <c r="U8" s="479">
        <f>L8-P8-S8</f>
        <v>0</v>
      </c>
      <c r="V8" s="471">
        <f>IF(S8="",0,S6+K8-S8)</f>
        <v>0</v>
      </c>
      <c r="W8" s="478">
        <f>IF(T8="",0,L6-O6+T8-J8-L8+O8)</f>
        <v>0</v>
      </c>
      <c r="X8" s="453">
        <f>L8-M8-N8</f>
        <v>0</v>
      </c>
      <c r="Y8" s="452">
        <f>IF(L8=0,0,(S8-S6)-(X8-X6))</f>
        <v>0</v>
      </c>
      <c r="Z8" s="450">
        <f>M8+N8</f>
        <v>0</v>
      </c>
      <c r="AA8" s="451">
        <f>IF(L8=0,0,(Z8-Z6)-(P8-P6))</f>
        <v>0</v>
      </c>
      <c r="AB8" s="465">
        <f>AA8-Y8</f>
        <v>0</v>
      </c>
      <c r="AC8" s="449">
        <f>IF(L8=0,0,R6-R8)</f>
        <v>0</v>
      </c>
    </row>
    <row r="9" spans="1:33" s="407" customFormat="1" ht="11.25" hidden="1" outlineLevel="1" x14ac:dyDescent="0.2">
      <c r="A9" s="477" t="s">
        <v>283</v>
      </c>
      <c r="B9" s="413" t="e">
        <f>IF(D10="Aasta",D9,B8)</f>
        <v>#REF!</v>
      </c>
      <c r="C9" s="412" t="e">
        <f>CONCATENATE(B9," - ",D9,A9)</f>
        <v>#REF!</v>
      </c>
      <c r="D9" s="464">
        <v>2008</v>
      </c>
      <c r="E9" s="461"/>
      <c r="F9" s="460"/>
      <c r="G9" s="459"/>
      <c r="H9" s="463"/>
      <c r="I9" s="458"/>
      <c r="J9" s="462"/>
      <c r="K9" s="457"/>
      <c r="L9" s="463"/>
      <c r="M9" s="460"/>
      <c r="N9" s="460"/>
      <c r="O9" s="462"/>
      <c r="P9" s="461"/>
      <c r="Q9" s="460"/>
      <c r="R9" s="459"/>
      <c r="S9" s="458"/>
      <c r="T9" s="457"/>
      <c r="U9" s="456">
        <f>L9-P9-S9</f>
        <v>0</v>
      </c>
      <c r="V9" s="455">
        <f>IF(S9="",0,S8+K9-S9)</f>
        <v>0</v>
      </c>
      <c r="W9" s="454">
        <f>IF(T9="",0,L8-O8+T9-J9-L9+O9)</f>
        <v>0</v>
      </c>
      <c r="X9" s="453">
        <f>L9-M9-N9</f>
        <v>0</v>
      </c>
      <c r="Y9" s="452">
        <f>IF(L9=0,0,(S9-S8)-(X9-X8))</f>
        <v>0</v>
      </c>
      <c r="Z9" s="450">
        <f>M9+N9</f>
        <v>0</v>
      </c>
      <c r="AA9" s="451">
        <f>IF(L9=0,0,(Z9-Z8)-(P9-P8))</f>
        <v>0</v>
      </c>
      <c r="AB9" s="450">
        <f>AA9-Y9</f>
        <v>0</v>
      </c>
      <c r="AC9" s="449">
        <f>IF(L9=0,0,R8-R9)</f>
        <v>0</v>
      </c>
    </row>
    <row r="10" spans="1:33" s="407" customFormat="1" ht="11.25" hidden="1" outlineLevel="1" x14ac:dyDescent="0.2">
      <c r="B10" s="413" t="e">
        <f>IF(D11="Aasta",D10,B9)</f>
        <v>#REF!</v>
      </c>
      <c r="C10" s="412" t="e">
        <f>CONCATENATE(B10," - ",D10,A10)</f>
        <v>#REF!</v>
      </c>
      <c r="D10" s="469">
        <v>2008</v>
      </c>
      <c r="E10" s="474"/>
      <c r="F10" s="473"/>
      <c r="G10" s="472"/>
      <c r="H10" s="476"/>
      <c r="I10" s="471"/>
      <c r="J10" s="475"/>
      <c r="K10" s="470"/>
      <c r="L10" s="476"/>
      <c r="M10" s="473"/>
      <c r="N10" s="473"/>
      <c r="O10" s="475"/>
      <c r="P10" s="474"/>
      <c r="Q10" s="473"/>
      <c r="R10" s="472"/>
      <c r="S10" s="471"/>
      <c r="T10" s="470"/>
      <c r="U10" s="468">
        <f>L10-P10-S10</f>
        <v>0</v>
      </c>
      <c r="V10" s="467">
        <f>IF(S10="",0,S8+K10-S10)</f>
        <v>0</v>
      </c>
      <c r="W10" s="466">
        <f>IF(T10="",0,L8-O8+T10-J10-L10+O10)</f>
        <v>0</v>
      </c>
      <c r="X10" s="453">
        <f>L10-M10-N10</f>
        <v>0</v>
      </c>
      <c r="Y10" s="452">
        <f>IF(L10=0,0,(S10-S8)-(X10-X8))</f>
        <v>0</v>
      </c>
      <c r="Z10" s="450">
        <f>M10+N10</f>
        <v>0</v>
      </c>
      <c r="AA10" s="451">
        <f>IF(L10=0,0,(Z10-Z8)-(P10-P8))</f>
        <v>0</v>
      </c>
      <c r="AB10" s="465">
        <f>AA10-Y10</f>
        <v>0</v>
      </c>
      <c r="AC10" s="449">
        <f>IF(L10=0,0,R8-R10)</f>
        <v>0</v>
      </c>
    </row>
    <row r="11" spans="1:33" s="407" customFormat="1" ht="11.25" hidden="1" outlineLevel="1" x14ac:dyDescent="0.2">
      <c r="A11" s="477" t="s">
        <v>283</v>
      </c>
      <c r="B11" s="413" t="e">
        <f>IF(D12="Aasta",D11,B10)</f>
        <v>#REF!</v>
      </c>
      <c r="C11" s="412" t="e">
        <f>CONCATENATE(B11," - ",D11,A11)</f>
        <v>#REF!</v>
      </c>
      <c r="D11" s="464">
        <v>2009</v>
      </c>
      <c r="E11" s="461"/>
      <c r="F11" s="460"/>
      <c r="G11" s="459"/>
      <c r="H11" s="463"/>
      <c r="I11" s="458"/>
      <c r="J11" s="462"/>
      <c r="K11" s="457"/>
      <c r="L11" s="463"/>
      <c r="M11" s="460"/>
      <c r="N11" s="460"/>
      <c r="O11" s="462"/>
      <c r="P11" s="461"/>
      <c r="Q11" s="460"/>
      <c r="R11" s="459"/>
      <c r="S11" s="458"/>
      <c r="T11" s="457"/>
      <c r="U11" s="456">
        <f>L11-P11-S11</f>
        <v>0</v>
      </c>
      <c r="V11" s="455">
        <f>IF(S11="",0,S10+K11-S11)</f>
        <v>0</v>
      </c>
      <c r="W11" s="454">
        <f>IF(T11="",0,L10-O10+T11-J11-L11+O11)</f>
        <v>0</v>
      </c>
      <c r="X11" s="453">
        <f>L11-M11-N11</f>
        <v>0</v>
      </c>
      <c r="Y11" s="452">
        <f>IF(L11=0,0,(S11-S10)-(X11-X10))</f>
        <v>0</v>
      </c>
      <c r="Z11" s="450">
        <f>M11+N11</f>
        <v>0</v>
      </c>
      <c r="AA11" s="451">
        <f>IF(L11=0,0,(Z11-Z10)-(P11-P10))</f>
        <v>0</v>
      </c>
      <c r="AB11" s="450">
        <f>AA11-Y11</f>
        <v>0</v>
      </c>
      <c r="AC11" s="449">
        <f>IF(L11=0,0,R10-R11)</f>
        <v>0</v>
      </c>
    </row>
    <row r="12" spans="1:33" s="407" customFormat="1" ht="11.25" hidden="1" outlineLevel="1" x14ac:dyDescent="0.2">
      <c r="B12" s="413" t="e">
        <f>IF(D13="Aasta",D12,B11)</f>
        <v>#REF!</v>
      </c>
      <c r="C12" s="412" t="e">
        <f>CONCATENATE(B12," - ",D12,A12)</f>
        <v>#REF!</v>
      </c>
      <c r="D12" s="469">
        <v>2009</v>
      </c>
      <c r="E12" s="474"/>
      <c r="F12" s="473"/>
      <c r="G12" s="472"/>
      <c r="H12" s="476"/>
      <c r="I12" s="471"/>
      <c r="J12" s="475"/>
      <c r="K12" s="470"/>
      <c r="L12" s="476"/>
      <c r="M12" s="473"/>
      <c r="N12" s="473"/>
      <c r="O12" s="475"/>
      <c r="P12" s="474"/>
      <c r="Q12" s="473"/>
      <c r="R12" s="472"/>
      <c r="S12" s="471"/>
      <c r="T12" s="470"/>
      <c r="U12" s="468">
        <f>L12-P12-S12</f>
        <v>0</v>
      </c>
      <c r="V12" s="467">
        <f>IF(S12="",0,S10+K12-S12)</f>
        <v>0</v>
      </c>
      <c r="W12" s="466">
        <f>IF(T12="",0,L10-O10+T12-J12-L12+O12)</f>
        <v>0</v>
      </c>
      <c r="X12" s="453">
        <f>L12-M12-N12</f>
        <v>0</v>
      </c>
      <c r="Y12" s="452">
        <f>IF(L12=0,0,(S12-S10)-(X12-X10))</f>
        <v>0</v>
      </c>
      <c r="Z12" s="450">
        <f>M12+N12</f>
        <v>0</v>
      </c>
      <c r="AA12" s="451">
        <f>IF(L12=0,0,(Z12-Z10)-(P12-P10))</f>
        <v>0</v>
      </c>
      <c r="AB12" s="465">
        <f>AA12-Y12</f>
        <v>0</v>
      </c>
      <c r="AC12" s="449">
        <f>IF(L12=0,0,R10-R12)</f>
        <v>0</v>
      </c>
    </row>
    <row r="13" spans="1:33" s="407" customFormat="1" ht="11.25" hidden="1" outlineLevel="1" x14ac:dyDescent="0.2">
      <c r="A13" s="407" t="s">
        <v>283</v>
      </c>
      <c r="B13" s="413" t="e">
        <f>IF(D15="Aasta",D13,B12)</f>
        <v>#REF!</v>
      </c>
      <c r="C13" s="412" t="e">
        <f>CONCATENATE(B13," - ",D13,A13)</f>
        <v>#REF!</v>
      </c>
      <c r="D13" s="464">
        <v>2010</v>
      </c>
      <c r="E13" s="461"/>
      <c r="F13" s="460"/>
      <c r="G13" s="459"/>
      <c r="H13" s="463"/>
      <c r="I13" s="458"/>
      <c r="J13" s="462"/>
      <c r="K13" s="457"/>
      <c r="L13" s="463"/>
      <c r="M13" s="460"/>
      <c r="N13" s="460"/>
      <c r="O13" s="462"/>
      <c r="P13" s="461"/>
      <c r="Q13" s="460"/>
      <c r="R13" s="459"/>
      <c r="S13" s="458"/>
      <c r="T13" s="457"/>
      <c r="U13" s="456">
        <f>L13-P13-S13</f>
        <v>0</v>
      </c>
      <c r="V13" s="455">
        <f>IF(S13="",0,S12+K13-S13)</f>
        <v>0</v>
      </c>
      <c r="W13" s="454">
        <f>IF(T13="",0,L12-O12+T13-J13-L13+O13)</f>
        <v>0</v>
      </c>
      <c r="X13" s="453">
        <f>L13-M13-N13</f>
        <v>0</v>
      </c>
      <c r="Y13" s="452">
        <f>IF(L13=0,0,(S13-S12)-(X13-X12))</f>
        <v>0</v>
      </c>
      <c r="Z13" s="450">
        <f>M13+N13</f>
        <v>0</v>
      </c>
      <c r="AA13" s="451">
        <f>IF(L13=0,0,(Z13-Z12)-(P13-P12))</f>
        <v>0</v>
      </c>
      <c r="AB13" s="450">
        <f>AA13-Y13</f>
        <v>0</v>
      </c>
      <c r="AC13" s="449">
        <f>IF(L13=0,0,R12-R13)</f>
        <v>0</v>
      </c>
    </row>
    <row r="14" spans="1:33" s="407" customFormat="1" ht="11.25" hidden="1" outlineLevel="1" x14ac:dyDescent="0.2">
      <c r="B14" s="413" t="e">
        <f>IF(D17="Aasta",D14,B13)</f>
        <v>#REF!</v>
      </c>
      <c r="C14" s="412" t="e">
        <f>CONCATENATE(B14," - ",D14,A14)</f>
        <v>#REF!</v>
      </c>
      <c r="D14" s="469">
        <v>2010</v>
      </c>
      <c r="E14" s="474"/>
      <c r="F14" s="473"/>
      <c r="G14" s="472"/>
      <c r="H14" s="476"/>
      <c r="I14" s="471"/>
      <c r="J14" s="475"/>
      <c r="K14" s="470"/>
      <c r="L14" s="476"/>
      <c r="M14" s="473"/>
      <c r="N14" s="473"/>
      <c r="O14" s="475"/>
      <c r="P14" s="474"/>
      <c r="Q14" s="473"/>
      <c r="R14" s="472"/>
      <c r="S14" s="471"/>
      <c r="T14" s="470"/>
      <c r="U14" s="468">
        <f>L14-P14-S14</f>
        <v>0</v>
      </c>
      <c r="V14" s="467">
        <f>IF(S14="",0,S12+K14-S14)</f>
        <v>0</v>
      </c>
      <c r="W14" s="466">
        <f>IF(T14="",0,L12-O12+T14-J14-L14+O14)</f>
        <v>0</v>
      </c>
      <c r="X14" s="453">
        <f>L14-M14-N14</f>
        <v>0</v>
      </c>
      <c r="Y14" s="452">
        <f>IF(L14=0,0,(S14-S12)-(X14-X12))</f>
        <v>0</v>
      </c>
      <c r="Z14" s="450">
        <f>M14+N14</f>
        <v>0</v>
      </c>
      <c r="AA14" s="451">
        <f>IF(L14=0,0,(Z14-Z12)-(P14-P12))</f>
        <v>0</v>
      </c>
      <c r="AB14" s="465">
        <f>AA14-Y14</f>
        <v>0</v>
      </c>
      <c r="AC14" s="449">
        <f>IF(L14=0,0,R12-R14)</f>
        <v>0</v>
      </c>
      <c r="AF14" s="416"/>
      <c r="AG14" s="416"/>
    </row>
    <row r="15" spans="1:33" s="407" customFormat="1" ht="11.25" hidden="1" outlineLevel="1" x14ac:dyDescent="0.2">
      <c r="A15" s="407" t="s">
        <v>283</v>
      </c>
      <c r="B15" s="413" t="e">
        <f>IF(D19="Aasta",D15,B14)</f>
        <v>#REF!</v>
      </c>
      <c r="C15" s="412" t="e">
        <f>CONCATENATE(B15," - ",D15,A15)</f>
        <v>#REF!</v>
      </c>
      <c r="D15" s="464">
        <v>2011</v>
      </c>
      <c r="E15" s="461"/>
      <c r="F15" s="460"/>
      <c r="G15" s="459"/>
      <c r="H15" s="463"/>
      <c r="I15" s="458"/>
      <c r="J15" s="462"/>
      <c r="K15" s="457"/>
      <c r="L15" s="463"/>
      <c r="M15" s="460"/>
      <c r="N15" s="460"/>
      <c r="O15" s="462"/>
      <c r="P15" s="461"/>
      <c r="Q15" s="460"/>
      <c r="R15" s="459"/>
      <c r="S15" s="458"/>
      <c r="T15" s="457"/>
      <c r="U15" s="456">
        <f>L15-P15-S15</f>
        <v>0</v>
      </c>
      <c r="V15" s="455">
        <f>IF(S15="",0,S14+K15-S15)</f>
        <v>0</v>
      </c>
      <c r="W15" s="454">
        <f>IF(T15="",0,L14-O14+T15-J15-L15+O15)</f>
        <v>0</v>
      </c>
      <c r="X15" s="453">
        <f>L15-M15-N15</f>
        <v>0</v>
      </c>
      <c r="Y15" s="452">
        <f>IF(L15=0,0,(S15-S14)-(X15-X14))</f>
        <v>0</v>
      </c>
      <c r="Z15" s="450">
        <f>M15+N15</f>
        <v>0</v>
      </c>
      <c r="AA15" s="451">
        <f>IF(L15=0,0,(Z15-Z14)-(P15-P14))</f>
        <v>0</v>
      </c>
      <c r="AB15" s="450">
        <f>AA15-Y15</f>
        <v>0</v>
      </c>
      <c r="AC15" s="449">
        <f>IF(L15=0,0,R14-R15)</f>
        <v>0</v>
      </c>
      <c r="AF15" s="416"/>
      <c r="AG15" s="416"/>
    </row>
    <row r="16" spans="1:33" s="407" customFormat="1" ht="11.25" hidden="1" collapsed="1" x14ac:dyDescent="0.2">
      <c r="B16" s="413" t="e">
        <f>IF(D20="Aasta",D16,B15)</f>
        <v>#REF!</v>
      </c>
      <c r="C16" s="412" t="e">
        <f>CONCATENATE(B16," - ",D16,A16)</f>
        <v>#REF!</v>
      </c>
      <c r="D16" s="469">
        <v>2011</v>
      </c>
      <c r="E16" s="474"/>
      <c r="F16" s="473"/>
      <c r="G16" s="472"/>
      <c r="H16" s="476"/>
      <c r="I16" s="471"/>
      <c r="J16" s="475"/>
      <c r="K16" s="470"/>
      <c r="L16" s="476"/>
      <c r="M16" s="473"/>
      <c r="N16" s="473"/>
      <c r="O16" s="475"/>
      <c r="P16" s="474"/>
      <c r="Q16" s="473"/>
      <c r="R16" s="472"/>
      <c r="S16" s="471"/>
      <c r="T16" s="470"/>
      <c r="U16" s="468">
        <f>L16-P16-S16</f>
        <v>0</v>
      </c>
      <c r="V16" s="467">
        <f>IF(S16="",0,S14+K16-S16)</f>
        <v>0</v>
      </c>
      <c r="W16" s="466">
        <f>IF(T16="",0,L14-O14+T16-J16-L16+O16)</f>
        <v>0</v>
      </c>
      <c r="X16" s="453">
        <f>L16-M16-N16</f>
        <v>0</v>
      </c>
      <c r="Y16" s="452">
        <f>IF(L16=0,0,(S16-S14)-(X16-X14))</f>
        <v>0</v>
      </c>
      <c r="Z16" s="450">
        <f>M16+N16</f>
        <v>0</v>
      </c>
      <c r="AA16" s="451">
        <f>IF(L16=0,0,(Z16-Z14)-(P16-P14))</f>
        <v>0</v>
      </c>
      <c r="AB16" s="465">
        <f>AA16-Y16</f>
        <v>0</v>
      </c>
      <c r="AC16" s="449">
        <f>IF(L16=0,0,R14-R16)</f>
        <v>0</v>
      </c>
      <c r="AF16" s="416"/>
      <c r="AG16" s="416"/>
    </row>
    <row r="17" spans="1:33" s="407" customFormat="1" ht="11.25" hidden="1" x14ac:dyDescent="0.2">
      <c r="A17" s="407" t="s">
        <v>283</v>
      </c>
      <c r="B17" s="413" t="e">
        <f>IF(D20="Aasta",D17,B15)</f>
        <v>#REF!</v>
      </c>
      <c r="C17" s="412" t="e">
        <f>CONCATENATE(B17," - ",D17,A17)</f>
        <v>#REF!</v>
      </c>
      <c r="D17" s="464">
        <v>2012</v>
      </c>
      <c r="E17" s="461"/>
      <c r="F17" s="460"/>
      <c r="G17" s="459"/>
      <c r="H17" s="463"/>
      <c r="I17" s="458"/>
      <c r="J17" s="462"/>
      <c r="K17" s="457"/>
      <c r="L17" s="463"/>
      <c r="M17" s="460"/>
      <c r="N17" s="460"/>
      <c r="O17" s="462"/>
      <c r="P17" s="461"/>
      <c r="Q17" s="460"/>
      <c r="R17" s="459"/>
      <c r="S17" s="458"/>
      <c r="T17" s="457"/>
      <c r="U17" s="456">
        <f>L17-P17-S17</f>
        <v>0</v>
      </c>
      <c r="V17" s="455">
        <f>IF(S17="",0,S16+K17-S17)</f>
        <v>0</v>
      </c>
      <c r="W17" s="454">
        <f>IF(T17="",0,L16-O16+T17-J17-L17+O17)</f>
        <v>0</v>
      </c>
      <c r="X17" s="453">
        <f>L17-M17-N17</f>
        <v>0</v>
      </c>
      <c r="Y17" s="452">
        <f>IF(L17=0,0,(S17-S16)-(X17-X16))</f>
        <v>0</v>
      </c>
      <c r="Z17" s="450">
        <f>M17+N17</f>
        <v>0</v>
      </c>
      <c r="AA17" s="451">
        <f>IF(L17=0,0,(Z17-Z16)-(P17-P16))</f>
        <v>0</v>
      </c>
      <c r="AB17" s="450">
        <f>AA17-Y17</f>
        <v>0</v>
      </c>
      <c r="AC17" s="449">
        <f>IF(L17=0,0,R16-R17)</f>
        <v>0</v>
      </c>
      <c r="AF17" s="416"/>
      <c r="AG17" s="416"/>
    </row>
    <row r="18" spans="1:33" s="407" customFormat="1" ht="11.25" hidden="1" x14ac:dyDescent="0.2">
      <c r="B18" s="413"/>
      <c r="C18" s="412"/>
      <c r="D18" s="469">
        <v>2012</v>
      </c>
      <c r="E18" s="461"/>
      <c r="F18" s="460"/>
      <c r="G18" s="459"/>
      <c r="H18" s="463"/>
      <c r="I18" s="458"/>
      <c r="J18" s="462"/>
      <c r="K18" s="457"/>
      <c r="L18" s="463"/>
      <c r="M18" s="460"/>
      <c r="N18" s="460"/>
      <c r="O18" s="462"/>
      <c r="P18" s="461"/>
      <c r="Q18" s="460"/>
      <c r="R18" s="459"/>
      <c r="S18" s="458"/>
      <c r="T18" s="457"/>
      <c r="U18" s="468">
        <f>L18-P18-S18</f>
        <v>0</v>
      </c>
      <c r="V18" s="467">
        <f>IF(S18="",0,S16+K18-S18)</f>
        <v>0</v>
      </c>
      <c r="W18" s="466">
        <f>IF(T18="",0,L16-O16+T18-J18-L18+O18)</f>
        <v>0</v>
      </c>
      <c r="X18" s="453">
        <f>L18-M18-N18</f>
        <v>0</v>
      </c>
      <c r="Y18" s="452">
        <f>IF(L18=0,0,(S18-S16)-(X18-X16))</f>
        <v>0</v>
      </c>
      <c r="Z18" s="450">
        <f>M18+N18</f>
        <v>0</v>
      </c>
      <c r="AA18" s="451">
        <f>IF(L18=0,0,(Z18-Z16)-(P18-P16))</f>
        <v>0</v>
      </c>
      <c r="AB18" s="465">
        <f>AA18-Y18</f>
        <v>0</v>
      </c>
      <c r="AC18" s="449">
        <f>IF(L18=0,0,R16-R18)</f>
        <v>0</v>
      </c>
      <c r="AF18" s="416"/>
      <c r="AG18" s="416"/>
    </row>
    <row r="19" spans="1:33" s="407" customFormat="1" ht="11.25" hidden="1" x14ac:dyDescent="0.2">
      <c r="A19" s="407" t="s">
        <v>283</v>
      </c>
      <c r="B19" s="413" t="e">
        <f>IF(D21="Aasta",D19,B17)</f>
        <v>#REF!</v>
      </c>
      <c r="C19" s="412" t="e">
        <f>CONCATENATE(B19," - ",D19,A19)</f>
        <v>#REF!</v>
      </c>
      <c r="D19" s="464">
        <v>2013</v>
      </c>
      <c r="E19" s="461"/>
      <c r="F19" s="460"/>
      <c r="G19" s="459"/>
      <c r="H19" s="463"/>
      <c r="I19" s="458"/>
      <c r="J19" s="462"/>
      <c r="K19" s="457"/>
      <c r="L19" s="463"/>
      <c r="M19" s="460"/>
      <c r="N19" s="460"/>
      <c r="O19" s="462"/>
      <c r="P19" s="461"/>
      <c r="Q19" s="460"/>
      <c r="R19" s="459"/>
      <c r="S19" s="458"/>
      <c r="T19" s="457"/>
      <c r="U19" s="456">
        <f>L19-P19-S19</f>
        <v>0</v>
      </c>
      <c r="V19" s="455">
        <f>IF(S19="",0,S18+K19-S19)</f>
        <v>0</v>
      </c>
      <c r="W19" s="454">
        <f>IF(T19="",0,L18-O18+T19-J19-L19+O19)</f>
        <v>0</v>
      </c>
      <c r="X19" s="453">
        <f>L19-M19-N19</f>
        <v>0</v>
      </c>
      <c r="Y19" s="452">
        <f>IF(L19=0,0,(S19-S18)-(X19-X18))</f>
        <v>0</v>
      </c>
      <c r="Z19" s="450">
        <f>M19+N19</f>
        <v>0</v>
      </c>
      <c r="AA19" s="451">
        <f>IF(L19=0,0,(Z19-Z18)-(P19-P18))</f>
        <v>0</v>
      </c>
      <c r="AB19" s="450">
        <f>AA19-Y19</f>
        <v>0</v>
      </c>
      <c r="AC19" s="449">
        <f>IF(L19=0,0,R18-R19)</f>
        <v>0</v>
      </c>
      <c r="AF19" s="416"/>
      <c r="AG19" s="416"/>
    </row>
    <row r="20" spans="1:33" s="407" customFormat="1" ht="11.25" hidden="1" x14ac:dyDescent="0.2">
      <c r="A20" s="407" t="s">
        <v>283</v>
      </c>
      <c r="B20" s="413" t="e">
        <f>IF(D27="Aasta",D20,B19)</f>
        <v>#REF!</v>
      </c>
      <c r="C20" s="412" t="e">
        <f>CONCATENATE(B20," - ",D20,A20)</f>
        <v>#REF!</v>
      </c>
      <c r="D20" s="448">
        <v>2014</v>
      </c>
      <c r="E20" s="445">
        <v>2204</v>
      </c>
      <c r="F20" s="444">
        <v>1163</v>
      </c>
      <c r="G20" s="443">
        <v>994</v>
      </c>
      <c r="H20" s="447">
        <v>1866</v>
      </c>
      <c r="I20" s="442"/>
      <c r="J20" s="446">
        <v>91</v>
      </c>
      <c r="K20" s="441">
        <v>332</v>
      </c>
      <c r="L20" s="447">
        <v>4071</v>
      </c>
      <c r="M20" s="444">
        <v>114</v>
      </c>
      <c r="N20" s="444">
        <v>46</v>
      </c>
      <c r="O20" s="446">
        <v>212</v>
      </c>
      <c r="P20" s="445">
        <v>651</v>
      </c>
      <c r="Q20" s="444">
        <v>232</v>
      </c>
      <c r="R20" s="443">
        <v>419</v>
      </c>
      <c r="S20" s="442">
        <v>3420</v>
      </c>
      <c r="T20" s="441">
        <v>273</v>
      </c>
      <c r="U20" s="440">
        <f>L20-P20-S20</f>
        <v>0</v>
      </c>
      <c r="V20" s="439">
        <f>IF(S20="",0,S19+K20-S20)</f>
        <v>-3088</v>
      </c>
      <c r="W20" s="438">
        <f>IF(T20="",0,L19-O19+T20-J20-L20+O20)</f>
        <v>-3677</v>
      </c>
      <c r="X20" s="437">
        <f>L20-M20-N20</f>
        <v>3911</v>
      </c>
      <c r="Y20" s="436">
        <f>IF(L20=0,0,(S20-S19)-(X20-X19))</f>
        <v>-491</v>
      </c>
      <c r="Z20" s="434">
        <f>M20+N20</f>
        <v>160</v>
      </c>
      <c r="AA20" s="435">
        <f>IF(L20=0,0,(Z20-Z19)-(P20-P19))</f>
        <v>-491</v>
      </c>
      <c r="AB20" s="434">
        <f>AA20-Y20</f>
        <v>0</v>
      </c>
      <c r="AC20" s="433">
        <f>IF(L20=0,0,R19-R20)</f>
        <v>-419</v>
      </c>
      <c r="AF20" s="416"/>
      <c r="AG20" s="416"/>
    </row>
    <row r="21" spans="1:33" s="407" customFormat="1" ht="11.25" x14ac:dyDescent="0.2">
      <c r="A21" s="407" t="s">
        <v>283</v>
      </c>
      <c r="B21" s="413" t="e">
        <f>IF(D28="Aasta",D21,B20)</f>
        <v>#REF!</v>
      </c>
      <c r="C21" s="412" t="e">
        <f>CONCATENATE(B21," - ",D21,A21)</f>
        <v>#REF!</v>
      </c>
      <c r="D21" s="448">
        <v>2015</v>
      </c>
      <c r="E21" s="445">
        <v>2160</v>
      </c>
      <c r="F21" s="444">
        <v>1198</v>
      </c>
      <c r="G21" s="443">
        <v>962</v>
      </c>
      <c r="H21" s="447">
        <v>2014</v>
      </c>
      <c r="I21" s="442"/>
      <c r="J21" s="446">
        <v>97</v>
      </c>
      <c r="K21" s="441">
        <v>143</v>
      </c>
      <c r="L21" s="447">
        <v>4009</v>
      </c>
      <c r="M21" s="444">
        <v>20</v>
      </c>
      <c r="N21" s="444"/>
      <c r="O21" s="446">
        <v>107</v>
      </c>
      <c r="P21" s="445">
        <v>446</v>
      </c>
      <c r="Q21" s="444">
        <v>117</v>
      </c>
      <c r="R21" s="443">
        <v>329</v>
      </c>
      <c r="S21" s="442">
        <v>3563</v>
      </c>
      <c r="T21" s="441">
        <v>140</v>
      </c>
      <c r="U21" s="440">
        <f>L21-P21-S21</f>
        <v>0</v>
      </c>
      <c r="V21" s="439">
        <f>IF(S21="",0,S20+K21-S21)</f>
        <v>0</v>
      </c>
      <c r="W21" s="438">
        <f>IF(T21="",0,L20-O20+T21-J21-L21+O21)</f>
        <v>0</v>
      </c>
      <c r="X21" s="437">
        <f>L21-M21-N21</f>
        <v>3989</v>
      </c>
      <c r="Y21" s="436">
        <f>IF(L21=0,0,(S21-S20)-(X21-X20))</f>
        <v>65</v>
      </c>
      <c r="Z21" s="434">
        <f>M21+N21</f>
        <v>20</v>
      </c>
      <c r="AA21" s="435">
        <f>IF(L21=0,0,(Z21-Z20)-(P21-P20))</f>
        <v>65</v>
      </c>
      <c r="AB21" s="434">
        <f>AA21-Y21</f>
        <v>0</v>
      </c>
      <c r="AC21" s="433">
        <f>IF(L21=0,0,R20-R21)</f>
        <v>90</v>
      </c>
      <c r="AF21" s="416"/>
      <c r="AG21" s="416"/>
    </row>
    <row r="22" spans="1:33" s="407" customFormat="1" ht="11.25" x14ac:dyDescent="0.2">
      <c r="B22" s="413"/>
      <c r="C22" s="412"/>
      <c r="D22" s="448">
        <v>2016</v>
      </c>
      <c r="E22" s="445">
        <v>2360</v>
      </c>
      <c r="F22" s="444">
        <v>1397</v>
      </c>
      <c r="G22" s="443">
        <v>963</v>
      </c>
      <c r="H22" s="447">
        <v>2329</v>
      </c>
      <c r="I22" s="442"/>
      <c r="J22" s="446">
        <v>105</v>
      </c>
      <c r="K22" s="441">
        <v>31</v>
      </c>
      <c r="L22" s="447">
        <v>4011</v>
      </c>
      <c r="M22" s="444">
        <v>13</v>
      </c>
      <c r="N22" s="444"/>
      <c r="O22" s="446">
        <v>80</v>
      </c>
      <c r="P22" s="445">
        <v>417</v>
      </c>
      <c r="Q22" s="444">
        <v>138</v>
      </c>
      <c r="R22" s="443">
        <v>279</v>
      </c>
      <c r="S22" s="442">
        <v>3594</v>
      </c>
      <c r="T22" s="441">
        <v>134</v>
      </c>
      <c r="U22" s="440">
        <f>L22-P22-S22</f>
        <v>0</v>
      </c>
      <c r="V22" s="439">
        <f>IF(S22="",0,S21+K22-S22)</f>
        <v>0</v>
      </c>
      <c r="W22" s="438">
        <f>IF(T22="",0,L21-O21+T22-J22-L22+O22)</f>
        <v>0</v>
      </c>
      <c r="X22" s="437">
        <f>L22-M22-N22</f>
        <v>3998</v>
      </c>
      <c r="Y22" s="436">
        <f>IF(L22=0,0,(S22-S21)-(X22-X21))</f>
        <v>22</v>
      </c>
      <c r="Z22" s="434">
        <f>M22+N22</f>
        <v>13</v>
      </c>
      <c r="AA22" s="435">
        <f>IF(L22=0,0,(Z22-Z21)-(P22-P21))</f>
        <v>22</v>
      </c>
      <c r="AB22" s="434">
        <f>AA22-Y22</f>
        <v>0</v>
      </c>
      <c r="AC22" s="433">
        <f>IF(L22=0,0,R21-R22)</f>
        <v>50</v>
      </c>
      <c r="AF22" s="416"/>
      <c r="AG22" s="416"/>
    </row>
    <row r="23" spans="1:33" s="407" customFormat="1" ht="11.25" x14ac:dyDescent="0.2">
      <c r="B23" s="413"/>
      <c r="C23" s="412"/>
      <c r="D23" s="448">
        <v>2017</v>
      </c>
      <c r="E23" s="445">
        <v>2200</v>
      </c>
      <c r="F23" s="444">
        <v>1370</v>
      </c>
      <c r="G23" s="443">
        <v>830</v>
      </c>
      <c r="H23" s="447">
        <v>2148</v>
      </c>
      <c r="I23" s="442"/>
      <c r="J23" s="446">
        <v>101</v>
      </c>
      <c r="K23" s="441">
        <v>52</v>
      </c>
      <c r="L23" s="447">
        <v>4053</v>
      </c>
      <c r="M23" s="444">
        <v>67</v>
      </c>
      <c r="N23" s="444"/>
      <c r="O23" s="446">
        <v>138</v>
      </c>
      <c r="P23" s="445">
        <v>407</v>
      </c>
      <c r="Q23" s="444">
        <v>178</v>
      </c>
      <c r="R23" s="443">
        <v>229</v>
      </c>
      <c r="S23" s="442">
        <v>3646</v>
      </c>
      <c r="T23" s="441">
        <v>85</v>
      </c>
      <c r="U23" s="440">
        <f>L23-P23-S23</f>
        <v>0</v>
      </c>
      <c r="V23" s="439">
        <f>IF(S23="",0,S22+K23-S23)</f>
        <v>0</v>
      </c>
      <c r="W23" s="438">
        <f>IF(T23="",0,L22-O22+T23-J23-L23+O23)</f>
        <v>0</v>
      </c>
      <c r="X23" s="437">
        <f>L23-M23-N23</f>
        <v>3986</v>
      </c>
      <c r="Y23" s="436">
        <f>IF(L23=0,0,(S23-S22)-(X23-X22))</f>
        <v>64</v>
      </c>
      <c r="Z23" s="434">
        <f>M23+N23</f>
        <v>67</v>
      </c>
      <c r="AA23" s="435">
        <f>IF(L23=0,0,(Z23-Z22)-(P23-P22))</f>
        <v>64</v>
      </c>
      <c r="AB23" s="434">
        <f>AA23-Y23</f>
        <v>0</v>
      </c>
      <c r="AC23" s="433">
        <f>IF(L23=0,0,R22-R23)</f>
        <v>50</v>
      </c>
      <c r="AF23" s="416"/>
      <c r="AG23" s="416"/>
    </row>
    <row r="24" spans="1:33" s="407" customFormat="1" ht="11.25" x14ac:dyDescent="0.2">
      <c r="B24" s="413"/>
      <c r="C24" s="412"/>
      <c r="D24" s="448">
        <v>2018</v>
      </c>
      <c r="E24" s="445">
        <v>2220</v>
      </c>
      <c r="F24" s="444">
        <v>1380</v>
      </c>
      <c r="G24" s="443">
        <v>840</v>
      </c>
      <c r="H24" s="447">
        <v>2165</v>
      </c>
      <c r="I24" s="442"/>
      <c r="J24" s="446">
        <v>96</v>
      </c>
      <c r="K24" s="441">
        <v>55</v>
      </c>
      <c r="L24" s="447">
        <v>4027</v>
      </c>
      <c r="M24" s="444">
        <v>52</v>
      </c>
      <c r="N24" s="444"/>
      <c r="O24" s="446">
        <v>135</v>
      </c>
      <c r="P24" s="445">
        <v>409</v>
      </c>
      <c r="Q24" s="444">
        <v>230</v>
      </c>
      <c r="R24" s="443">
        <v>179</v>
      </c>
      <c r="S24" s="442">
        <v>3618</v>
      </c>
      <c r="T24" s="441">
        <v>73</v>
      </c>
      <c r="U24" s="440">
        <f>L24-P24-S24</f>
        <v>0</v>
      </c>
      <c r="V24" s="439">
        <f>IF(S24="",0,S21+K24-S24)</f>
        <v>0</v>
      </c>
      <c r="W24" s="438">
        <f>IF(T24="",0,L23-O23+T24-J24-L24+O24)</f>
        <v>0</v>
      </c>
      <c r="X24" s="437">
        <f>L24-M24-N24</f>
        <v>3975</v>
      </c>
      <c r="Y24" s="436">
        <f>IF(L24=0,0,(S24-S23)-(X24-X23))</f>
        <v>-17</v>
      </c>
      <c r="Z24" s="434">
        <f>M24+N24</f>
        <v>52</v>
      </c>
      <c r="AA24" s="435">
        <f>IF(L24=0,0,(Z24-Z23)-(P24-P23))</f>
        <v>-17</v>
      </c>
      <c r="AB24" s="434">
        <f>AA24-Y24</f>
        <v>0</v>
      </c>
      <c r="AC24" s="433">
        <f>IF(L24=0,0,R23-R24)</f>
        <v>50</v>
      </c>
      <c r="AF24" s="416"/>
      <c r="AG24" s="416"/>
    </row>
    <row r="25" spans="1:33" s="407" customFormat="1" ht="11.25" x14ac:dyDescent="0.2">
      <c r="B25" s="413"/>
      <c r="C25" s="412"/>
      <c r="D25" s="448">
        <v>2019</v>
      </c>
      <c r="E25" s="445">
        <v>2240</v>
      </c>
      <c r="F25" s="444">
        <v>1390</v>
      </c>
      <c r="G25" s="443">
        <v>850</v>
      </c>
      <c r="H25" s="447">
        <v>2216</v>
      </c>
      <c r="I25" s="442"/>
      <c r="J25" s="446">
        <v>102</v>
      </c>
      <c r="K25" s="441">
        <v>24</v>
      </c>
      <c r="L25" s="447">
        <v>4021</v>
      </c>
      <c r="M25" s="444">
        <v>64</v>
      </c>
      <c r="N25" s="444"/>
      <c r="O25" s="446">
        <v>142</v>
      </c>
      <c r="P25" s="445">
        <v>403</v>
      </c>
      <c r="Q25" s="444">
        <v>274</v>
      </c>
      <c r="R25" s="443">
        <v>129</v>
      </c>
      <c r="S25" s="442">
        <v>3618</v>
      </c>
      <c r="T25" s="441">
        <v>50</v>
      </c>
      <c r="U25" s="440">
        <f>L25-P25-S25</f>
        <v>0</v>
      </c>
      <c r="V25" s="439">
        <f>IF(S25="",0,S22+K25-S25)</f>
        <v>0</v>
      </c>
      <c r="W25" s="438">
        <f>IF(T25="",0,L22-O22+T25-J25-L25+O25)</f>
        <v>0</v>
      </c>
      <c r="X25" s="437">
        <f>L25-M25-N25</f>
        <v>3957</v>
      </c>
      <c r="Y25" s="436">
        <f>IF(L25=0,0,(S25-S22)-(X25-X22))</f>
        <v>65</v>
      </c>
      <c r="Z25" s="434">
        <f>M25+N25</f>
        <v>64</v>
      </c>
      <c r="AA25" s="435">
        <f>IF(L25=0,0,(Z25-Z22)-(P25-P22))</f>
        <v>65</v>
      </c>
      <c r="AB25" s="434">
        <f>AA25-Y25</f>
        <v>0</v>
      </c>
      <c r="AC25" s="433">
        <f>IF(L25=0,0,R22-R25)</f>
        <v>150</v>
      </c>
      <c r="AF25" s="416"/>
      <c r="AG25" s="416"/>
    </row>
    <row r="26" spans="1:33" s="407" customFormat="1" ht="12" thickBot="1" x14ac:dyDescent="0.25">
      <c r="A26" s="407" t="s">
        <v>283</v>
      </c>
      <c r="B26" s="413" t="e">
        <f>IF(D29="Aasta",D26,B21)</f>
        <v>#REF!</v>
      </c>
      <c r="C26" s="412" t="e">
        <f>CONCATENATE(B26," - ",D26,A26)</f>
        <v>#REF!</v>
      </c>
      <c r="D26" s="432">
        <v>2020</v>
      </c>
      <c r="E26" s="429">
        <v>2300</v>
      </c>
      <c r="F26" s="428">
        <v>1400</v>
      </c>
      <c r="G26" s="427">
        <v>900</v>
      </c>
      <c r="H26" s="431">
        <v>2240</v>
      </c>
      <c r="I26" s="426"/>
      <c r="J26" s="430">
        <v>100</v>
      </c>
      <c r="K26" s="425">
        <v>60</v>
      </c>
      <c r="L26" s="431">
        <v>4028</v>
      </c>
      <c r="M26" s="428">
        <v>52</v>
      </c>
      <c r="N26" s="428"/>
      <c r="O26" s="430">
        <v>145</v>
      </c>
      <c r="P26" s="429">
        <v>374</v>
      </c>
      <c r="Q26" s="428">
        <v>295</v>
      </c>
      <c r="R26" s="427">
        <v>79</v>
      </c>
      <c r="S26" s="426">
        <v>3654</v>
      </c>
      <c r="T26" s="425">
        <v>52</v>
      </c>
      <c r="U26" s="424">
        <f>L26-P26-S26</f>
        <v>0</v>
      </c>
      <c r="V26" s="423">
        <f>IF(S26="",0,S22+K26-S26)</f>
        <v>0</v>
      </c>
      <c r="W26" s="422">
        <f>IF(T26="",0,L22-O22+T26-J26-L26+O26)</f>
        <v>0</v>
      </c>
      <c r="X26" s="421">
        <f>L26-M26-N26</f>
        <v>3976</v>
      </c>
      <c r="Y26" s="420">
        <f>IF(L26=0,0,(S26-S22)-(X26-X22))</f>
        <v>82</v>
      </c>
      <c r="Z26" s="418">
        <f>M26+N26</f>
        <v>52</v>
      </c>
      <c r="AA26" s="419">
        <f>IF(L26=0,0,(Z26-Z22)-(P26-P22))</f>
        <v>82</v>
      </c>
      <c r="AB26" s="418">
        <f>AA26-Y26</f>
        <v>0</v>
      </c>
      <c r="AC26" s="417">
        <f>IF(L26=0,0,R22-R26)</f>
        <v>200</v>
      </c>
      <c r="AF26" s="416"/>
      <c r="AG26" s="416"/>
    </row>
    <row r="27" spans="1:33" s="407" customFormat="1" ht="11.25" x14ac:dyDescent="0.2">
      <c r="B27" s="413" t="e">
        <f>IF(D28="Aasta",D27,B19)</f>
        <v>#REF!</v>
      </c>
      <c r="C27" s="412" t="e">
        <f>CONCATENATE(B27," - ",D27,A27)</f>
        <v>#REF!</v>
      </c>
      <c r="D27" s="415" t="s">
        <v>359</v>
      </c>
      <c r="E27" s="414">
        <v>0</v>
      </c>
      <c r="F27" s="414">
        <v>0</v>
      </c>
      <c r="G27" s="414">
        <v>0</v>
      </c>
      <c r="H27" s="414">
        <v>0</v>
      </c>
      <c r="I27" s="414">
        <v>0</v>
      </c>
      <c r="J27" s="414">
        <v>0</v>
      </c>
      <c r="K27" s="414">
        <v>0</v>
      </c>
      <c r="L27" s="414">
        <v>0</v>
      </c>
      <c r="M27" s="414">
        <v>0</v>
      </c>
      <c r="N27" s="414">
        <v>0</v>
      </c>
      <c r="O27" s="414">
        <v>0</v>
      </c>
      <c r="P27" s="414">
        <v>0</v>
      </c>
      <c r="Q27" s="414">
        <v>0</v>
      </c>
      <c r="R27" s="414">
        <v>0</v>
      </c>
      <c r="S27" s="414">
        <v>0</v>
      </c>
      <c r="T27" s="414">
        <v>0</v>
      </c>
      <c r="U27" s="409"/>
      <c r="V27" s="409"/>
      <c r="AA27" s="408"/>
      <c r="AB27" s="408"/>
      <c r="AC27" s="408"/>
    </row>
    <row r="28" spans="1:33" s="407" customFormat="1" ht="11.25" x14ac:dyDescent="0.2">
      <c r="B28" s="413" t="e">
        <f>IF(D29="Aasta",D28,B27)</f>
        <v>#REF!</v>
      </c>
      <c r="C28" s="412" t="e">
        <f>CONCATENATE(B28," - ",D28,A28)</f>
        <v>#REF!</v>
      </c>
      <c r="D28" s="415" t="s">
        <v>358</v>
      </c>
      <c r="E28" s="414">
        <v>0</v>
      </c>
      <c r="F28" s="414">
        <v>0</v>
      </c>
      <c r="G28" s="414">
        <v>0</v>
      </c>
      <c r="H28" s="414">
        <v>0</v>
      </c>
      <c r="I28" s="414">
        <v>0</v>
      </c>
      <c r="J28" s="414">
        <v>0</v>
      </c>
      <c r="K28" s="414">
        <v>0</v>
      </c>
      <c r="L28" s="414">
        <v>0</v>
      </c>
      <c r="M28" s="414">
        <v>0</v>
      </c>
      <c r="N28" s="414">
        <v>0</v>
      </c>
      <c r="O28" s="414">
        <v>0</v>
      </c>
      <c r="P28" s="414">
        <v>0</v>
      </c>
      <c r="Q28" s="414">
        <v>0</v>
      </c>
      <c r="R28" s="414">
        <v>0</v>
      </c>
      <c r="S28" s="414">
        <v>0</v>
      </c>
      <c r="T28" s="414">
        <v>0</v>
      </c>
      <c r="U28" s="409"/>
      <c r="V28" s="409"/>
      <c r="AA28" s="408"/>
      <c r="AB28" s="408"/>
      <c r="AC28" s="408"/>
    </row>
    <row r="29" spans="1:33" s="407" customFormat="1" ht="11.25" x14ac:dyDescent="0.2">
      <c r="B29" s="413" t="e">
        <f>IF(D30="Aasta",D29,B28)</f>
        <v>#REF!</v>
      </c>
      <c r="C29" s="412" t="e">
        <f>CONCATENATE(B29," - ",D29,A29)</f>
        <v>#REF!</v>
      </c>
      <c r="D29" s="411" t="s">
        <v>357</v>
      </c>
      <c r="E29" s="410">
        <v>0</v>
      </c>
      <c r="F29" s="410">
        <v>0</v>
      </c>
      <c r="G29" s="410">
        <v>0</v>
      </c>
      <c r="H29" s="410">
        <v>0</v>
      </c>
      <c r="I29" s="410">
        <v>0</v>
      </c>
      <c r="J29" s="410" t="s">
        <v>356</v>
      </c>
      <c r="K29" s="410">
        <v>0</v>
      </c>
      <c r="L29" s="410">
        <v>0</v>
      </c>
      <c r="M29" s="410">
        <v>0</v>
      </c>
      <c r="N29" s="410">
        <v>0</v>
      </c>
      <c r="O29" s="410">
        <v>0</v>
      </c>
      <c r="P29" s="410">
        <v>0</v>
      </c>
      <c r="Q29" s="410">
        <v>0</v>
      </c>
      <c r="R29" s="410">
        <v>0</v>
      </c>
      <c r="S29" s="410">
        <v>0</v>
      </c>
      <c r="T29" s="410">
        <v>0</v>
      </c>
      <c r="U29" s="409"/>
      <c r="V29" s="409"/>
      <c r="AA29" s="408"/>
      <c r="AB29" s="408"/>
      <c r="AC29" s="408"/>
    </row>
    <row r="31" spans="1:33" ht="30" customHeight="1" x14ac:dyDescent="0.25">
      <c r="D31" s="100" t="s">
        <v>355</v>
      </c>
      <c r="E31" s="100"/>
      <c r="F31" s="100"/>
      <c r="G31" s="406"/>
      <c r="H31" s="406"/>
      <c r="I31" s="406"/>
      <c r="J31" s="406"/>
      <c r="K31" s="406"/>
      <c r="L31" s="406"/>
      <c r="M31" s="406"/>
      <c r="N31" s="406"/>
      <c r="O31" s="406"/>
      <c r="P31" s="406"/>
    </row>
    <row r="32" spans="1:33" x14ac:dyDescent="0.25">
      <c r="M32" s="117"/>
    </row>
    <row r="33" spans="4:13" x14ac:dyDescent="0.25">
      <c r="D33" s="32" t="s">
        <v>354</v>
      </c>
      <c r="M33" s="117"/>
    </row>
    <row r="34" spans="4:13" x14ac:dyDescent="0.25">
      <c r="D34" s="405" t="s">
        <v>278</v>
      </c>
      <c r="M34" s="117"/>
    </row>
    <row r="35" spans="4:13" x14ac:dyDescent="0.25">
      <c r="D35" s="405" t="s">
        <v>277</v>
      </c>
      <c r="M35" s="117"/>
    </row>
    <row r="36" spans="4:13" x14ac:dyDescent="0.25">
      <c r="D36" s="405" t="s">
        <v>276</v>
      </c>
      <c r="M36" s="117"/>
    </row>
  </sheetData>
  <mergeCells count="20">
    <mergeCell ref="AB3:AB4"/>
    <mergeCell ref="AC3:AC4"/>
    <mergeCell ref="Y3:Y4"/>
    <mergeCell ref="Z3:Z4"/>
    <mergeCell ref="S3:S4"/>
    <mergeCell ref="T3:T4"/>
    <mergeCell ref="D31:F31"/>
    <mergeCell ref="D2:T2"/>
    <mergeCell ref="D3:D4"/>
    <mergeCell ref="AA3:AA4"/>
    <mergeCell ref="G31:P31"/>
    <mergeCell ref="U3:U4"/>
    <mergeCell ref="V3:V4"/>
    <mergeCell ref="W3:W4"/>
    <mergeCell ref="X3:X4"/>
    <mergeCell ref="E3:G3"/>
    <mergeCell ref="H3:J3"/>
    <mergeCell ref="K3:K4"/>
    <mergeCell ref="L3:O3"/>
    <mergeCell ref="P3:R3"/>
  </mergeCells>
  <conditionalFormatting sqref="U5:W26">
    <cfRule type="cellIs" dxfId="6" priority="7" operator="notBetween">
      <formula>-1</formula>
      <formula>1</formula>
    </cfRule>
  </conditionalFormatting>
  <conditionalFormatting sqref="H5:H26 E5:E26">
    <cfRule type="cellIs" dxfId="5" priority="6" stopIfTrue="1" operator="lessThan">
      <formula>F5+G5</formula>
    </cfRule>
  </conditionalFormatting>
  <conditionalFormatting sqref="O5:O26">
    <cfRule type="cellIs" dxfId="4" priority="5" stopIfTrue="1" operator="lessThan">
      <formula>M5</formula>
    </cfRule>
  </conditionalFormatting>
  <conditionalFormatting sqref="P5:P26">
    <cfRule type="cellIs" dxfId="3" priority="3" stopIfTrue="1" operator="lessThan">
      <formula>Q5</formula>
    </cfRule>
    <cfRule type="cellIs" dxfId="2" priority="4" stopIfTrue="1" operator="lessThan">
      <formula>R5</formula>
    </cfRule>
  </conditionalFormatting>
  <conditionalFormatting sqref="L5:L26">
    <cfRule type="cellIs" dxfId="1" priority="1" stopIfTrue="1" operator="lessThan">
      <formula>M5+N5</formula>
    </cfRule>
    <cfRule type="cellIs" dxfId="0" priority="2" stopIfTrue="1" operator="lessThan">
      <formula>O5</formula>
    </cfRule>
  </conditionalFormatting>
  <pageMargins left="0.19685039370078741" right="0.19685039370078741" top="0.74803149606299213" bottom="0.74803149606299213" header="0.31496062992125984" footer="0.31496062992125984"/>
  <pageSetup paperSize="9"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1" t="s">
        <v>167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3">
        <v>2016</v>
      </c>
      <c r="E4" s="33">
        <v>2017</v>
      </c>
      <c r="F4" s="33">
        <v>2018</v>
      </c>
      <c r="G4" s="33">
        <v>2019</v>
      </c>
      <c r="H4" s="33">
        <v>2020</v>
      </c>
    </row>
    <row r="5" spans="1:8" x14ac:dyDescent="0.25">
      <c r="A5" s="33"/>
      <c r="B5" s="33"/>
      <c r="C5" s="33"/>
      <c r="D5" s="33"/>
      <c r="E5" s="33"/>
      <c r="F5" s="33"/>
      <c r="G5" s="33"/>
      <c r="H5" s="33"/>
    </row>
    <row r="6" spans="1:8" x14ac:dyDescent="0.25">
      <c r="A6" s="5" t="s">
        <v>49</v>
      </c>
      <c r="B6" s="5"/>
      <c r="C6" s="5"/>
      <c r="D6" s="2"/>
      <c r="E6" s="2"/>
      <c r="F6" s="2"/>
      <c r="G6" s="2"/>
      <c r="H6" s="2"/>
    </row>
    <row r="7" spans="1:8" x14ac:dyDescent="0.25">
      <c r="A7" s="13" t="s">
        <v>13</v>
      </c>
      <c r="B7" s="13" t="s">
        <v>25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</row>
    <row r="8" spans="1:8" x14ac:dyDescent="0.25">
      <c r="A8" s="13" t="s">
        <v>26</v>
      </c>
      <c r="B8" s="13" t="s">
        <v>27</v>
      </c>
      <c r="C8" s="51">
        <v>29500</v>
      </c>
      <c r="D8" s="7">
        <v>33736</v>
      </c>
      <c r="E8" s="7">
        <v>32244</v>
      </c>
      <c r="F8" s="7">
        <v>32566</v>
      </c>
      <c r="G8" s="7">
        <v>32892</v>
      </c>
      <c r="H8" s="7">
        <v>33221</v>
      </c>
    </row>
    <row r="9" spans="1:8" x14ac:dyDescent="0.25">
      <c r="A9" s="13" t="s">
        <v>28</v>
      </c>
      <c r="B9" s="13" t="s">
        <v>14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</row>
    <row r="10" spans="1:8" x14ac:dyDescent="0.25">
      <c r="A10" s="13" t="s">
        <v>15</v>
      </c>
      <c r="B10" s="13" t="s">
        <v>29</v>
      </c>
      <c r="C10" s="51">
        <f>61176+85</f>
        <v>61261</v>
      </c>
      <c r="D10" s="7">
        <v>74406</v>
      </c>
      <c r="E10" s="7">
        <v>83160</v>
      </c>
      <c r="F10" s="7">
        <v>61341</v>
      </c>
      <c r="G10" s="7">
        <v>62380</v>
      </c>
      <c r="H10" s="7">
        <v>63830</v>
      </c>
    </row>
    <row r="11" spans="1:8" x14ac:dyDescent="0.25">
      <c r="A11" s="13" t="s">
        <v>16</v>
      </c>
      <c r="B11" s="13" t="s">
        <v>30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</row>
    <row r="12" spans="1:8" x14ac:dyDescent="0.25">
      <c r="A12" s="13" t="s">
        <v>31</v>
      </c>
      <c r="B12" s="13" t="s">
        <v>32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</row>
    <row r="13" spans="1:8" x14ac:dyDescent="0.25">
      <c r="A13" s="13" t="s">
        <v>17</v>
      </c>
      <c r="B13" s="13" t="s">
        <v>33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</row>
    <row r="14" spans="1:8" x14ac:dyDescent="0.25">
      <c r="A14" s="13" t="s">
        <v>18</v>
      </c>
      <c r="B14" s="13" t="s">
        <v>34</v>
      </c>
      <c r="C14" s="51">
        <v>8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</row>
    <row r="15" spans="1:8" x14ac:dyDescent="0.25">
      <c r="A15" s="13" t="s">
        <v>35</v>
      </c>
      <c r="B15" s="13" t="s">
        <v>36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</row>
    <row r="16" spans="1:8" x14ac:dyDescent="0.25">
      <c r="A16" s="5" t="s">
        <v>0</v>
      </c>
      <c r="B16" s="5"/>
      <c r="C16" s="7">
        <f t="shared" ref="C16:H16" si="0">SUM(C7:C15)</f>
        <v>90769</v>
      </c>
      <c r="D16" s="7">
        <f t="shared" si="0"/>
        <v>108142</v>
      </c>
      <c r="E16" s="7">
        <f t="shared" si="0"/>
        <v>115404</v>
      </c>
      <c r="F16" s="7">
        <f t="shared" si="0"/>
        <v>93907</v>
      </c>
      <c r="G16" s="7">
        <f t="shared" si="0"/>
        <v>95272</v>
      </c>
      <c r="H16" s="7">
        <f t="shared" si="0"/>
        <v>97051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55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55">
        <v>29500</v>
      </c>
      <c r="D19" s="19">
        <v>33736</v>
      </c>
      <c r="E19" s="19">
        <v>32244</v>
      </c>
      <c r="F19" s="19">
        <v>32566</v>
      </c>
      <c r="G19" s="19">
        <v>32892</v>
      </c>
      <c r="H19" s="19">
        <v>33221</v>
      </c>
    </row>
    <row r="20" spans="1:8" s="17" customFormat="1" x14ac:dyDescent="0.25">
      <c r="A20" s="18" t="s">
        <v>148</v>
      </c>
      <c r="B20" s="18" t="s">
        <v>117</v>
      </c>
      <c r="C20" s="55">
        <f>61176+85</f>
        <v>61261</v>
      </c>
      <c r="D20" s="19">
        <v>74406</v>
      </c>
      <c r="E20" s="19">
        <v>83160</v>
      </c>
      <c r="F20" s="19">
        <v>61341</v>
      </c>
      <c r="G20" s="19">
        <v>62380</v>
      </c>
      <c r="H20" s="19">
        <v>63830</v>
      </c>
    </row>
    <row r="21" spans="1:8" s="17" customFormat="1" x14ac:dyDescent="0.25">
      <c r="A21" s="18" t="s">
        <v>114</v>
      </c>
      <c r="B21" s="18" t="s">
        <v>116</v>
      </c>
      <c r="C21" s="55">
        <f t="shared" ref="C21:H21" si="1">SUM(C19:C20)</f>
        <v>90761</v>
      </c>
      <c r="D21" s="19">
        <f t="shared" si="1"/>
        <v>108142</v>
      </c>
      <c r="E21" s="19">
        <f t="shared" si="1"/>
        <v>115404</v>
      </c>
      <c r="F21" s="19">
        <f t="shared" si="1"/>
        <v>93907</v>
      </c>
      <c r="G21" s="19">
        <f t="shared" si="1"/>
        <v>95272</v>
      </c>
      <c r="H21" s="19">
        <f t="shared" si="1"/>
        <v>97051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</row>
    <row r="25" spans="1:8" x14ac:dyDescent="0.25">
      <c r="A25" s="13" t="s">
        <v>23</v>
      </c>
      <c r="B25" s="13" t="s">
        <v>24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x14ac:dyDescent="0.25">
      <c r="A26" s="13" t="s">
        <v>20</v>
      </c>
      <c r="B26" s="13" t="s">
        <v>38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</row>
    <row r="27" spans="1:8" x14ac:dyDescent="0.25">
      <c r="A27" s="13" t="s">
        <v>21</v>
      </c>
      <c r="B27" s="13" t="s">
        <v>39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</row>
    <row r="28" spans="1:8" x14ac:dyDescent="0.25">
      <c r="A28" s="13" t="s">
        <v>22</v>
      </c>
      <c r="B28" s="13" t="s">
        <v>40</v>
      </c>
      <c r="C28" s="51">
        <f>-31907+C29</f>
        <v>-80280</v>
      </c>
      <c r="D28" s="7">
        <f>-52936+D29</f>
        <v>-108057</v>
      </c>
      <c r="E28" s="7">
        <f>-60644+E29</f>
        <v>-115313</v>
      </c>
      <c r="F28" s="7">
        <f>-38592+F29</f>
        <v>-93808</v>
      </c>
      <c r="G28" s="7">
        <f>-39395+G29</f>
        <v>-95163</v>
      </c>
      <c r="H28" s="7">
        <f>-40605+H29</f>
        <v>-96931</v>
      </c>
    </row>
    <row r="29" spans="1:8" x14ac:dyDescent="0.25">
      <c r="A29" s="2" t="s">
        <v>155</v>
      </c>
      <c r="B29" s="2" t="s">
        <v>156</v>
      </c>
      <c r="C29" s="51">
        <v>-48373</v>
      </c>
      <c r="D29" s="7">
        <v>-55121</v>
      </c>
      <c r="E29" s="7">
        <v>-54669</v>
      </c>
      <c r="F29" s="7">
        <v>-55216</v>
      </c>
      <c r="G29" s="7">
        <v>-55768</v>
      </c>
      <c r="H29" s="7">
        <v>-56326</v>
      </c>
    </row>
    <row r="30" spans="1:8" x14ac:dyDescent="0.25">
      <c r="A30" s="13" t="s">
        <v>41</v>
      </c>
      <c r="B30" s="13" t="s">
        <v>42</v>
      </c>
      <c r="C30" s="51">
        <v>-3748</v>
      </c>
      <c r="D30" s="7">
        <v>-85</v>
      </c>
      <c r="E30" s="7">
        <v>-91</v>
      </c>
      <c r="F30" s="7">
        <v>-99</v>
      </c>
      <c r="G30" s="7">
        <v>-109</v>
      </c>
      <c r="H30" s="7">
        <v>-120</v>
      </c>
    </row>
    <row r="31" spans="1:8" x14ac:dyDescent="0.25">
      <c r="A31" s="13" t="s">
        <v>43</v>
      </c>
      <c r="B31" s="13" t="s">
        <v>44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</row>
    <row r="32" spans="1:8" x14ac:dyDescent="0.25">
      <c r="A32" s="13" t="s">
        <v>45</v>
      </c>
      <c r="B32" s="13" t="s">
        <v>46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x14ac:dyDescent="0.25">
      <c r="A33" s="13" t="s">
        <v>47</v>
      </c>
      <c r="B33" s="13" t="s">
        <v>48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</row>
    <row r="34" spans="1:8" x14ac:dyDescent="0.25">
      <c r="A34" s="5" t="s">
        <v>1</v>
      </c>
      <c r="B34" s="5"/>
      <c r="C34" s="51">
        <f t="shared" ref="C34:H34" si="2">SUM(C24:C28)+SUM(C30:C33)</f>
        <v>-84028</v>
      </c>
      <c r="D34" s="7">
        <f t="shared" si="2"/>
        <v>-108142</v>
      </c>
      <c r="E34" s="7">
        <f t="shared" si="2"/>
        <v>-115404</v>
      </c>
      <c r="F34" s="7">
        <f t="shared" si="2"/>
        <v>-93907</v>
      </c>
      <c r="G34" s="7">
        <f t="shared" si="2"/>
        <v>-95272</v>
      </c>
      <c r="H34" s="7">
        <f t="shared" si="2"/>
        <v>-97051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55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</row>
    <row r="38" spans="1:8" s="17" customFormat="1" x14ac:dyDescent="0.25">
      <c r="A38" s="21" t="s">
        <v>133</v>
      </c>
      <c r="B38" s="21" t="s">
        <v>134</v>
      </c>
      <c r="C38" s="55">
        <v>-80280</v>
      </c>
      <c r="D38" s="19">
        <v>-108057</v>
      </c>
      <c r="E38" s="19">
        <v>-115313</v>
      </c>
      <c r="F38" s="19">
        <v>-93808</v>
      </c>
      <c r="G38" s="19">
        <v>-95163</v>
      </c>
      <c r="H38" s="19">
        <v>-96931</v>
      </c>
    </row>
    <row r="39" spans="1:8" s="17" customFormat="1" x14ac:dyDescent="0.25">
      <c r="A39" s="21" t="s">
        <v>136</v>
      </c>
      <c r="B39" s="21" t="s">
        <v>135</v>
      </c>
      <c r="C39" s="55">
        <f>-3748+C40</f>
        <v>-28104</v>
      </c>
      <c r="D39" s="55">
        <f>D40+-66</f>
        <v>-15396</v>
      </c>
      <c r="E39" s="55">
        <f>E40+-66</f>
        <v>-14989</v>
      </c>
      <c r="F39" s="55">
        <f>F40+-66</f>
        <v>-14076</v>
      </c>
      <c r="G39" s="19">
        <f>G40+-109</f>
        <v>-13919</v>
      </c>
      <c r="H39" s="19">
        <f>H40+-120</f>
        <v>-13930</v>
      </c>
    </row>
    <row r="40" spans="1:8" s="17" customFormat="1" x14ac:dyDescent="0.25">
      <c r="A40" s="21" t="s">
        <v>138</v>
      </c>
      <c r="B40" s="21" t="s">
        <v>120</v>
      </c>
      <c r="C40" s="55">
        <v>-24356</v>
      </c>
      <c r="D40" s="19">
        <v>-15330</v>
      </c>
      <c r="E40" s="19">
        <v>-14923</v>
      </c>
      <c r="F40" s="19">
        <v>-14010</v>
      </c>
      <c r="G40" s="19">
        <v>-13810</v>
      </c>
      <c r="H40" s="19">
        <v>-13810</v>
      </c>
    </row>
    <row r="41" spans="1:8" s="17" customFormat="1" x14ac:dyDescent="0.25">
      <c r="A41" s="21" t="s">
        <v>113</v>
      </c>
      <c r="B41" s="21" t="s">
        <v>137</v>
      </c>
      <c r="C41" s="55">
        <f t="shared" ref="C41:H41" si="3">SUM(C37:C39)</f>
        <v>-108384</v>
      </c>
      <c r="D41" s="19">
        <f t="shared" si="3"/>
        <v>-123453</v>
      </c>
      <c r="E41" s="19">
        <f t="shared" si="3"/>
        <v>-130302</v>
      </c>
      <c r="F41" s="19">
        <f t="shared" si="3"/>
        <v>-107884</v>
      </c>
      <c r="G41" s="19">
        <f t="shared" si="3"/>
        <v>-109082</v>
      </c>
      <c r="H41" s="19">
        <f t="shared" si="3"/>
        <v>-110861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51">
        <f t="shared" ref="C43:H43" si="4">C16+C34</f>
        <v>6741</v>
      </c>
      <c r="D43" s="7">
        <f t="shared" si="4"/>
        <v>0</v>
      </c>
      <c r="E43" s="7">
        <f t="shared" si="4"/>
        <v>0</v>
      </c>
      <c r="F43" s="7">
        <f t="shared" si="4"/>
        <v>0</v>
      </c>
      <c r="G43" s="7">
        <f t="shared" si="4"/>
        <v>0</v>
      </c>
      <c r="H43" s="7">
        <f t="shared" si="4"/>
        <v>0</v>
      </c>
    </row>
    <row r="44" spans="1:8" x14ac:dyDescent="0.25">
      <c r="A44" s="10" t="s">
        <v>3</v>
      </c>
      <c r="B44" s="10"/>
      <c r="C44" s="63">
        <f t="shared" ref="C44:H44" si="5">C43/C16</f>
        <v>7.4265443047736565E-2</v>
      </c>
      <c r="D44" s="63">
        <f t="shared" si="5"/>
        <v>0</v>
      </c>
      <c r="E44" s="63">
        <f t="shared" si="5"/>
        <v>0</v>
      </c>
      <c r="F44" s="63">
        <f t="shared" si="5"/>
        <v>0</v>
      </c>
      <c r="G44" s="63">
        <f t="shared" si="5"/>
        <v>0</v>
      </c>
      <c r="H44" s="63">
        <f t="shared" si="5"/>
        <v>0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55">
        <f t="shared" ref="C46:H46" si="6">C21+C41</f>
        <v>-17623</v>
      </c>
      <c r="D46" s="55">
        <f t="shared" si="6"/>
        <v>-15311</v>
      </c>
      <c r="E46" s="55">
        <f t="shared" si="6"/>
        <v>-14898</v>
      </c>
      <c r="F46" s="55">
        <f t="shared" si="6"/>
        <v>-13977</v>
      </c>
      <c r="G46" s="55">
        <f t="shared" si="6"/>
        <v>-13810</v>
      </c>
      <c r="H46" s="55">
        <f t="shared" si="6"/>
        <v>-13810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51"/>
      <c r="E48" s="51"/>
      <c r="F48" s="51"/>
      <c r="G48" s="51"/>
      <c r="H48" s="51"/>
    </row>
    <row r="49" spans="1:8" x14ac:dyDescent="0.25">
      <c r="A49" s="2" t="s">
        <v>107</v>
      </c>
      <c r="B49" s="5"/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</row>
    <row r="50" spans="1:8" x14ac:dyDescent="0.25">
      <c r="A50" s="2" t="s">
        <v>142</v>
      </c>
      <c r="B50" s="5"/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</row>
    <row r="51" spans="1:8" x14ac:dyDescent="0.25">
      <c r="A51" s="2" t="s">
        <v>4</v>
      </c>
      <c r="B51" s="5"/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</row>
    <row r="52" spans="1:8" x14ac:dyDescent="0.25">
      <c r="A52" s="2" t="s">
        <v>5</v>
      </c>
      <c r="B52" s="5"/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</row>
    <row r="53" spans="1:8" x14ac:dyDescent="0.25">
      <c r="A53" s="2" t="s">
        <v>143</v>
      </c>
      <c r="B53" s="5"/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</row>
    <row r="54" spans="1:8" x14ac:dyDescent="0.25">
      <c r="A54" s="2" t="s">
        <v>108</v>
      </c>
      <c r="B54" s="5"/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</row>
    <row r="55" spans="1:8" x14ac:dyDescent="0.25">
      <c r="A55" s="2" t="s">
        <v>144</v>
      </c>
      <c r="B55" s="5"/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</row>
    <row r="56" spans="1:8" x14ac:dyDescent="0.25">
      <c r="A56" s="2" t="s">
        <v>109</v>
      </c>
      <c r="B56" s="5"/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</row>
    <row r="57" spans="1:8" x14ac:dyDescent="0.25">
      <c r="A57" s="2" t="s">
        <v>145</v>
      </c>
      <c r="B57" s="5"/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</row>
    <row r="58" spans="1:8" x14ac:dyDescent="0.25">
      <c r="A58" s="2" t="s">
        <v>110</v>
      </c>
      <c r="B58" s="5"/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</row>
    <row r="59" spans="1:8" x14ac:dyDescent="0.25">
      <c r="A59" s="2" t="s">
        <v>146</v>
      </c>
      <c r="B59" s="5"/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</row>
    <row r="60" spans="1:8" x14ac:dyDescent="0.25">
      <c r="A60" s="2" t="s">
        <v>111</v>
      </c>
      <c r="B60" s="5"/>
      <c r="C60" s="51">
        <v>8.27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</row>
    <row r="61" spans="1:8" x14ac:dyDescent="0.25">
      <c r="A61" s="2" t="s">
        <v>112</v>
      </c>
      <c r="B61" s="5"/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</row>
    <row r="62" spans="1:8" s="17" customFormat="1" x14ac:dyDescent="0.25">
      <c r="A62" s="20" t="s">
        <v>6</v>
      </c>
      <c r="B62" s="20"/>
      <c r="C62" s="51">
        <f t="shared" ref="C62:H62" si="7">SUM(C49:C61)</f>
        <v>8.27</v>
      </c>
      <c r="D62" s="51">
        <f t="shared" si="7"/>
        <v>0</v>
      </c>
      <c r="E62" s="51">
        <f t="shared" si="7"/>
        <v>0</v>
      </c>
      <c r="F62" s="51">
        <f t="shared" si="7"/>
        <v>0</v>
      </c>
      <c r="G62" s="51">
        <f t="shared" si="7"/>
        <v>0</v>
      </c>
      <c r="H62" s="51">
        <f t="shared" si="7"/>
        <v>0</v>
      </c>
    </row>
    <row r="63" spans="1:8" s="17" customFormat="1" x14ac:dyDescent="0.25">
      <c r="A63" s="20"/>
      <c r="B63" s="20"/>
      <c r="C63" s="51"/>
      <c r="D63" s="51"/>
      <c r="E63" s="51"/>
      <c r="F63" s="51"/>
      <c r="G63" s="51"/>
      <c r="H63" s="51"/>
    </row>
    <row r="64" spans="1:8" s="17" customFormat="1" x14ac:dyDescent="0.25">
      <c r="A64" s="8" t="s">
        <v>7</v>
      </c>
      <c r="B64" s="8"/>
      <c r="C64" s="51">
        <f t="shared" ref="C64:H64" si="8">C43+C62</f>
        <v>6749.27</v>
      </c>
      <c r="D64" s="51">
        <f t="shared" si="8"/>
        <v>0</v>
      </c>
      <c r="E64" s="51">
        <f t="shared" si="8"/>
        <v>0</v>
      </c>
      <c r="F64" s="51">
        <f t="shared" si="8"/>
        <v>0</v>
      </c>
      <c r="G64" s="51">
        <f t="shared" si="8"/>
        <v>0</v>
      </c>
      <c r="H64" s="51">
        <f t="shared" si="8"/>
        <v>0</v>
      </c>
    </row>
    <row r="65" spans="1:8" s="17" customFormat="1" x14ac:dyDescent="0.25">
      <c r="A65" s="20"/>
      <c r="B65" s="20"/>
      <c r="C65" s="51"/>
      <c r="D65" s="51"/>
      <c r="E65" s="51"/>
      <c r="F65" s="51"/>
      <c r="G65" s="51"/>
      <c r="H65" s="51"/>
    </row>
    <row r="66" spans="1:8" s="17" customFormat="1" x14ac:dyDescent="0.25">
      <c r="A66" s="20" t="s">
        <v>93</v>
      </c>
      <c r="B66" s="20"/>
      <c r="C66" s="51"/>
      <c r="D66" s="51"/>
      <c r="E66" s="51"/>
      <c r="F66" s="51"/>
      <c r="G66" s="51"/>
      <c r="H66" s="51"/>
    </row>
    <row r="67" spans="1:8" s="17" customFormat="1" x14ac:dyDescent="0.25">
      <c r="A67" s="24" t="s">
        <v>59</v>
      </c>
      <c r="B67" s="24" t="s">
        <v>50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</row>
    <row r="68" spans="1:8" s="17" customFormat="1" x14ac:dyDescent="0.25">
      <c r="A68" s="24" t="s">
        <v>60</v>
      </c>
      <c r="B68" s="15" t="s">
        <v>129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</row>
    <row r="69" spans="1:8" ht="60" x14ac:dyDescent="0.25">
      <c r="A69" s="13" t="s">
        <v>61</v>
      </c>
      <c r="B69" s="26" t="s">
        <v>51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</row>
    <row r="70" spans="1:8" x14ac:dyDescent="0.25">
      <c r="A70" s="13" t="s">
        <v>52</v>
      </c>
      <c r="B70" s="13" t="s">
        <v>62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</row>
    <row r="71" spans="1:8" x14ac:dyDescent="0.25">
      <c r="A71" s="13" t="s">
        <v>63</v>
      </c>
      <c r="B71" s="13" t="s">
        <v>64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</row>
    <row r="72" spans="1:8" x14ac:dyDescent="0.25">
      <c r="A72" s="13" t="s">
        <v>65</v>
      </c>
      <c r="B72" s="13" t="s">
        <v>66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</row>
    <row r="73" spans="1:8" x14ac:dyDescent="0.25">
      <c r="A73" s="13" t="s">
        <v>67</v>
      </c>
      <c r="B73" s="13" t="s">
        <v>68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</row>
    <row r="74" spans="1:8" x14ac:dyDescent="0.25">
      <c r="A74" s="13" t="s">
        <v>53</v>
      </c>
      <c r="B74" s="13" t="s">
        <v>69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</row>
    <row r="75" spans="1:8" x14ac:dyDescent="0.25">
      <c r="A75" s="13" t="s">
        <v>70</v>
      </c>
      <c r="B75" s="13" t="s">
        <v>71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</row>
    <row r="76" spans="1:8" x14ac:dyDescent="0.25">
      <c r="A76" s="13" t="s">
        <v>54</v>
      </c>
      <c r="B76" s="13" t="s">
        <v>58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</row>
    <row r="77" spans="1:8" x14ac:dyDescent="0.25">
      <c r="A77" s="13" t="s">
        <v>55</v>
      </c>
      <c r="B77" s="13" t="s">
        <v>72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</row>
    <row r="78" spans="1:8" ht="45" x14ac:dyDescent="0.25">
      <c r="A78" s="13" t="s">
        <v>73</v>
      </c>
      <c r="B78" s="26" t="s">
        <v>74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</row>
    <row r="79" spans="1:8" x14ac:dyDescent="0.25">
      <c r="A79" s="13" t="s">
        <v>56</v>
      </c>
      <c r="B79" s="13" t="s">
        <v>75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</row>
    <row r="80" spans="1:8" x14ac:dyDescent="0.25">
      <c r="A80" s="13" t="s">
        <v>76</v>
      </c>
      <c r="B80" s="13" t="s">
        <v>77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</row>
    <row r="81" spans="1:8" ht="15" customHeight="1" x14ac:dyDescent="0.25">
      <c r="A81" s="13" t="s">
        <v>57</v>
      </c>
      <c r="B81" s="13" t="s">
        <v>78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</row>
    <row r="82" spans="1:8" x14ac:dyDescent="0.25">
      <c r="A82" s="5" t="s">
        <v>8</v>
      </c>
      <c r="B82" s="5"/>
      <c r="C82" s="51">
        <f t="shared" ref="C82:H82" si="9">SUM(C67:C81)</f>
        <v>0</v>
      </c>
      <c r="D82" s="51">
        <f t="shared" si="9"/>
        <v>0</v>
      </c>
      <c r="E82" s="51">
        <f t="shared" si="9"/>
        <v>0</v>
      </c>
      <c r="F82" s="51">
        <f t="shared" si="9"/>
        <v>0</v>
      </c>
      <c r="G82" s="51">
        <f t="shared" si="9"/>
        <v>0</v>
      </c>
      <c r="H82" s="51">
        <f t="shared" si="9"/>
        <v>0</v>
      </c>
    </row>
    <row r="83" spans="1:8" x14ac:dyDescent="0.25">
      <c r="A83" s="5"/>
      <c r="B83" s="5"/>
      <c r="C83" s="51"/>
      <c r="D83" s="51"/>
      <c r="E83" s="51"/>
      <c r="F83" s="51"/>
      <c r="G83" s="51"/>
      <c r="H83" s="51"/>
    </row>
    <row r="84" spans="1:8" s="17" customFormat="1" x14ac:dyDescent="0.25">
      <c r="A84" s="21" t="s">
        <v>125</v>
      </c>
      <c r="B84" s="18" t="s">
        <v>124</v>
      </c>
      <c r="C84" s="55">
        <f>3545-85</f>
        <v>3460</v>
      </c>
      <c r="D84" s="55">
        <v>2570</v>
      </c>
      <c r="E84" s="55">
        <v>3182</v>
      </c>
      <c r="F84" s="55">
        <v>3074</v>
      </c>
      <c r="G84" s="55">
        <v>3510</v>
      </c>
      <c r="H84" s="55">
        <v>3549</v>
      </c>
    </row>
    <row r="85" spans="1:8" x14ac:dyDescent="0.25">
      <c r="A85" s="5"/>
      <c r="B85" s="5"/>
      <c r="C85" s="51"/>
      <c r="D85" s="51"/>
      <c r="E85" s="51"/>
      <c r="F85" s="51"/>
      <c r="G85" s="51"/>
      <c r="H85" s="51"/>
    </row>
    <row r="86" spans="1:8" x14ac:dyDescent="0.25">
      <c r="A86" s="5" t="s">
        <v>152</v>
      </c>
      <c r="B86" s="5"/>
      <c r="C86" s="51"/>
      <c r="D86" s="51"/>
      <c r="E86" s="51"/>
      <c r="F86" s="51"/>
      <c r="G86" s="51"/>
      <c r="H86" s="51"/>
    </row>
    <row r="87" spans="1:8" s="17" customFormat="1" x14ac:dyDescent="0.25">
      <c r="A87" s="15" t="s">
        <v>9</v>
      </c>
      <c r="B87" s="15" t="s">
        <v>80</v>
      </c>
      <c r="C87" s="51">
        <v>-12790</v>
      </c>
      <c r="D87" s="51">
        <v>-2790</v>
      </c>
      <c r="E87" s="51">
        <v>-3627</v>
      </c>
      <c r="F87" s="51">
        <v>-4352</v>
      </c>
      <c r="G87" s="51">
        <v>-4788</v>
      </c>
      <c r="H87" s="51">
        <v>-5027</v>
      </c>
    </row>
    <row r="88" spans="1:8" x14ac:dyDescent="0.25">
      <c r="A88" s="13" t="s">
        <v>88</v>
      </c>
      <c r="B88" s="2" t="s">
        <v>81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</row>
    <row r="89" spans="1:8" x14ac:dyDescent="0.25">
      <c r="A89" s="13" t="s">
        <v>88</v>
      </c>
      <c r="B89" s="2" t="s">
        <v>82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</row>
    <row r="90" spans="1:8" x14ac:dyDescent="0.25">
      <c r="A90" s="13" t="s">
        <v>89</v>
      </c>
      <c r="B90" s="2" t="s">
        <v>83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</row>
    <row r="91" spans="1:8" x14ac:dyDescent="0.25">
      <c r="A91" s="13" t="s">
        <v>90</v>
      </c>
      <c r="B91" s="2" t="s">
        <v>84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</row>
    <row r="92" spans="1:8" x14ac:dyDescent="0.25">
      <c r="A92" s="13" t="s">
        <v>79</v>
      </c>
      <c r="B92" s="2" t="s">
        <v>85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</row>
    <row r="93" spans="1:8" x14ac:dyDescent="0.25">
      <c r="A93" s="13" t="s">
        <v>91</v>
      </c>
      <c r="B93" s="2" t="s">
        <v>86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</row>
    <row r="94" spans="1:8" x14ac:dyDescent="0.25">
      <c r="A94" s="13" t="s">
        <v>92</v>
      </c>
      <c r="B94" s="2" t="s">
        <v>87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</row>
    <row r="95" spans="1:8" x14ac:dyDescent="0.25">
      <c r="A95" s="5" t="s">
        <v>10</v>
      </c>
      <c r="B95" s="5"/>
      <c r="C95" s="51">
        <v>-12790</v>
      </c>
      <c r="D95" s="51">
        <v>-2790</v>
      </c>
      <c r="E95" s="51">
        <v>-3627</v>
      </c>
      <c r="F95" s="51">
        <v>-4352</v>
      </c>
      <c r="G95" s="51">
        <v>-4788</v>
      </c>
      <c r="H95" s="51">
        <v>-5027</v>
      </c>
    </row>
    <row r="96" spans="1:8" x14ac:dyDescent="0.25">
      <c r="A96" s="5"/>
      <c r="B96" s="5"/>
      <c r="C96" s="51"/>
      <c r="D96" s="51"/>
      <c r="E96" s="51"/>
      <c r="F96" s="51"/>
      <c r="G96" s="51"/>
      <c r="H96" s="51"/>
    </row>
    <row r="97" spans="1:8" s="17" customFormat="1" x14ac:dyDescent="0.25">
      <c r="A97" s="21" t="s">
        <v>121</v>
      </c>
      <c r="B97" s="21" t="s">
        <v>126</v>
      </c>
      <c r="C97" s="55">
        <v>14746</v>
      </c>
      <c r="D97" s="55">
        <v>4490</v>
      </c>
      <c r="E97" s="55">
        <v>5627</v>
      </c>
      <c r="F97" s="55">
        <v>5552</v>
      </c>
      <c r="G97" s="55">
        <v>6488</v>
      </c>
      <c r="H97" s="55">
        <v>7027</v>
      </c>
    </row>
    <row r="98" spans="1:8" s="17" customFormat="1" x14ac:dyDescent="0.25">
      <c r="A98" s="21" t="s">
        <v>122</v>
      </c>
      <c r="B98" s="21" t="s">
        <v>127</v>
      </c>
      <c r="C98" s="55">
        <v>323515</v>
      </c>
      <c r="D98" s="55">
        <v>325985</v>
      </c>
      <c r="E98" s="55">
        <v>341062</v>
      </c>
      <c r="F98" s="55">
        <v>327052</v>
      </c>
      <c r="G98" s="55">
        <v>313242</v>
      </c>
      <c r="H98" s="55">
        <v>299432</v>
      </c>
    </row>
    <row r="99" spans="1:8" s="17" customFormat="1" x14ac:dyDescent="0.25">
      <c r="A99" s="21" t="s">
        <v>131</v>
      </c>
      <c r="B99" s="21"/>
      <c r="C99" s="55">
        <v>334716</v>
      </c>
      <c r="D99" s="55">
        <v>327905</v>
      </c>
      <c r="E99" s="55">
        <v>343507</v>
      </c>
      <c r="F99" s="55">
        <v>329530</v>
      </c>
      <c r="G99" s="55">
        <v>316220</v>
      </c>
      <c r="H99" s="55">
        <v>302910</v>
      </c>
    </row>
    <row r="100" spans="1:8" s="17" customFormat="1" x14ac:dyDescent="0.25">
      <c r="A100" s="21" t="s">
        <v>123</v>
      </c>
      <c r="B100" s="21" t="s">
        <v>128</v>
      </c>
      <c r="C100" s="55">
        <v>338261</v>
      </c>
      <c r="D100" s="55">
        <v>330475</v>
      </c>
      <c r="E100" s="55">
        <v>346689</v>
      </c>
      <c r="F100" s="55">
        <v>332604</v>
      </c>
      <c r="G100" s="55">
        <v>319730</v>
      </c>
      <c r="H100" s="55">
        <v>306459</v>
      </c>
    </row>
    <row r="101" spans="1:8" x14ac:dyDescent="0.25">
      <c r="A101" s="5"/>
      <c r="B101" s="5"/>
      <c r="C101" s="51"/>
      <c r="D101" s="51"/>
      <c r="E101" s="51"/>
      <c r="F101" s="51"/>
      <c r="G101" s="51"/>
      <c r="H101" s="51"/>
    </row>
    <row r="102" spans="1:8" x14ac:dyDescent="0.25">
      <c r="A102" s="8" t="s">
        <v>11</v>
      </c>
      <c r="B102" s="8"/>
      <c r="C102" s="51">
        <f t="shared" ref="C102:H102" si="10">C82+C95</f>
        <v>-12790</v>
      </c>
      <c r="D102" s="51">
        <f t="shared" si="10"/>
        <v>-2790</v>
      </c>
      <c r="E102" s="51">
        <f t="shared" si="10"/>
        <v>-3627</v>
      </c>
      <c r="F102" s="51">
        <f t="shared" si="10"/>
        <v>-4352</v>
      </c>
      <c r="G102" s="51">
        <f t="shared" si="10"/>
        <v>-4788</v>
      </c>
      <c r="H102" s="51">
        <f t="shared" si="10"/>
        <v>-5027</v>
      </c>
    </row>
    <row r="103" spans="1:8" x14ac:dyDescent="0.25">
      <c r="A103" s="10" t="s">
        <v>3</v>
      </c>
      <c r="B103" s="10"/>
      <c r="C103" s="11">
        <f t="shared" ref="C103:H103" si="11">C102/C16</f>
        <v>-0.14090713789950313</v>
      </c>
      <c r="D103" s="11">
        <f t="shared" si="11"/>
        <v>-2.5799411884374249E-2</v>
      </c>
      <c r="E103" s="11">
        <f t="shared" si="11"/>
        <v>-3.1428719975044192E-2</v>
      </c>
      <c r="F103" s="11">
        <f t="shared" si="11"/>
        <v>-4.6343723045140402E-2</v>
      </c>
      <c r="G103" s="11">
        <f t="shared" si="11"/>
        <v>-5.025610882525821E-2</v>
      </c>
      <c r="H103" s="11">
        <f t="shared" si="11"/>
        <v>-5.1797508526444859E-2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 t="s">
        <v>166</v>
      </c>
    </row>
    <row r="124" spans="1:8" x14ac:dyDescent="0.25">
      <c r="B124" s="61">
        <v>3859020</v>
      </c>
    </row>
    <row r="125" spans="1:8" x14ac:dyDescent="0.25">
      <c r="B125" s="14" t="s">
        <v>165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  <mergeCell ref="A113:H113"/>
    <mergeCell ref="A112:H112"/>
    <mergeCell ref="A111:H111"/>
    <mergeCell ref="A110:H110"/>
    <mergeCell ref="A120:H120"/>
  </mergeCells>
  <hyperlinks>
    <hyperlink ref="B125" r:id="rId1"/>
  </hyperlinks>
  <pageMargins left="0.22" right="0.16" top="0.32" bottom="0.19" header="0.31496062992125984" footer="0.17"/>
  <pageSetup paperSize="9" scale="3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zoomScaleNormal="100" workbookViewId="0">
      <selection activeCell="B1" sqref="B1"/>
    </sheetView>
  </sheetViews>
  <sheetFormatPr defaultRowHeight="15" x14ac:dyDescent="0.25"/>
  <cols>
    <col min="1" max="1" width="43.85546875" style="64" customWidth="1"/>
    <col min="2" max="2" width="31.42578125" style="64" customWidth="1"/>
    <col min="3" max="8" width="17.140625" style="65" customWidth="1"/>
    <col min="9" max="16384" width="9.140625" style="64"/>
  </cols>
  <sheetData>
    <row r="1" spans="1:8" ht="30" x14ac:dyDescent="0.25">
      <c r="A1" s="99" t="s">
        <v>159</v>
      </c>
      <c r="B1" s="98" t="s">
        <v>199</v>
      </c>
    </row>
    <row r="2" spans="1:8" x14ac:dyDescent="0.25">
      <c r="A2" s="97"/>
    </row>
    <row r="3" spans="1:8" x14ac:dyDescent="0.25">
      <c r="A3" s="96" t="s">
        <v>140</v>
      </c>
      <c r="B3" s="96"/>
      <c r="C3" s="95"/>
    </row>
    <row r="4" spans="1:8" x14ac:dyDescent="0.25">
      <c r="A4" s="94" t="s">
        <v>157</v>
      </c>
      <c r="B4" s="94" t="s">
        <v>12</v>
      </c>
      <c r="C4" s="91" t="s">
        <v>198</v>
      </c>
      <c r="D4" s="93">
        <v>2016</v>
      </c>
      <c r="E4" s="93">
        <v>2017</v>
      </c>
      <c r="F4" s="93">
        <v>2018</v>
      </c>
      <c r="G4" s="93">
        <v>2019</v>
      </c>
      <c r="H4" s="93">
        <v>2020</v>
      </c>
    </row>
    <row r="5" spans="1:8" x14ac:dyDescent="0.25">
      <c r="A5" s="92"/>
      <c r="B5" s="92"/>
      <c r="C5" s="91"/>
      <c r="D5" s="77"/>
      <c r="E5" s="77"/>
      <c r="F5" s="77"/>
      <c r="G5" s="77"/>
      <c r="H5" s="77"/>
    </row>
    <row r="6" spans="1:8" x14ac:dyDescent="0.25">
      <c r="A6" s="79" t="s">
        <v>49</v>
      </c>
      <c r="B6" s="79"/>
      <c r="C6" s="78"/>
      <c r="D6" s="77"/>
      <c r="E6" s="77"/>
      <c r="F6" s="77"/>
      <c r="G6" s="77"/>
      <c r="H6" s="77"/>
    </row>
    <row r="7" spans="1:8" x14ac:dyDescent="0.25">
      <c r="A7" s="85" t="s">
        <v>13</v>
      </c>
      <c r="B7" s="85" t="s">
        <v>25</v>
      </c>
      <c r="C7" s="78"/>
      <c r="D7" s="77"/>
      <c r="E7" s="77"/>
      <c r="F7" s="77"/>
      <c r="G7" s="77"/>
      <c r="H7" s="77"/>
    </row>
    <row r="8" spans="1:8" x14ac:dyDescent="0.25">
      <c r="A8" s="85" t="s">
        <v>26</v>
      </c>
      <c r="B8" s="85" t="s">
        <v>27</v>
      </c>
      <c r="C8" s="78">
        <v>1515150</v>
      </c>
      <c r="D8" s="77">
        <v>1466200</v>
      </c>
      <c r="E8" s="77">
        <v>1652860</v>
      </c>
      <c r="F8" s="77">
        <v>1818146</v>
      </c>
      <c r="G8" s="77">
        <v>1999961</v>
      </c>
      <c r="H8" s="77">
        <v>2000000</v>
      </c>
    </row>
    <row r="9" spans="1:8" x14ac:dyDescent="0.25">
      <c r="A9" s="85" t="s">
        <v>28</v>
      </c>
      <c r="B9" s="85" t="s">
        <v>14</v>
      </c>
      <c r="C9" s="78"/>
      <c r="D9" s="77"/>
      <c r="E9" s="77"/>
      <c r="F9" s="77"/>
      <c r="G9" s="77"/>
      <c r="H9" s="77"/>
    </row>
    <row r="10" spans="1:8" x14ac:dyDescent="0.25">
      <c r="A10" s="85" t="s">
        <v>15</v>
      </c>
      <c r="B10" s="85" t="s">
        <v>29</v>
      </c>
      <c r="C10" s="78">
        <v>77342</v>
      </c>
      <c r="D10" s="77">
        <v>73700</v>
      </c>
      <c r="E10" s="77"/>
      <c r="F10" s="77"/>
      <c r="G10" s="77"/>
      <c r="H10" s="77"/>
    </row>
    <row r="11" spans="1:8" x14ac:dyDescent="0.25">
      <c r="A11" s="85" t="s">
        <v>16</v>
      </c>
      <c r="B11" s="85" t="s">
        <v>30</v>
      </c>
      <c r="C11" s="78">
        <v>1689867</v>
      </c>
      <c r="D11" s="77">
        <v>1774154</v>
      </c>
      <c r="E11" s="77">
        <v>2044739</v>
      </c>
      <c r="F11" s="77">
        <v>2249213</v>
      </c>
      <c r="G11" s="77">
        <v>2474134</v>
      </c>
      <c r="H11" s="77">
        <v>2500000</v>
      </c>
    </row>
    <row r="12" spans="1:8" x14ac:dyDescent="0.25">
      <c r="A12" s="85" t="s">
        <v>31</v>
      </c>
      <c r="B12" s="85" t="s">
        <v>32</v>
      </c>
      <c r="C12" s="78"/>
      <c r="D12" s="77"/>
      <c r="E12" s="77"/>
      <c r="F12" s="77"/>
      <c r="G12" s="77"/>
      <c r="H12" s="77"/>
    </row>
    <row r="13" spans="1:8" x14ac:dyDescent="0.25">
      <c r="A13" s="85" t="s">
        <v>17</v>
      </c>
      <c r="B13" s="85" t="s">
        <v>33</v>
      </c>
      <c r="C13" s="84"/>
      <c r="D13" s="77"/>
      <c r="E13" s="77"/>
      <c r="F13" s="77"/>
      <c r="G13" s="77"/>
      <c r="H13" s="77"/>
    </row>
    <row r="14" spans="1:8" x14ac:dyDescent="0.25">
      <c r="A14" s="85" t="s">
        <v>18</v>
      </c>
      <c r="B14" s="85" t="s">
        <v>34</v>
      </c>
      <c r="C14" s="84"/>
      <c r="D14" s="77"/>
      <c r="E14" s="77"/>
      <c r="F14" s="77"/>
      <c r="G14" s="77"/>
      <c r="H14" s="77"/>
    </row>
    <row r="15" spans="1:8" x14ac:dyDescent="0.25">
      <c r="A15" s="85" t="s">
        <v>35</v>
      </c>
      <c r="B15" s="85" t="s">
        <v>36</v>
      </c>
      <c r="C15" s="78">
        <v>766</v>
      </c>
      <c r="D15" s="77"/>
      <c r="E15" s="77"/>
      <c r="F15" s="77"/>
      <c r="G15" s="77"/>
      <c r="H15" s="77"/>
    </row>
    <row r="16" spans="1:8" x14ac:dyDescent="0.25">
      <c r="A16" s="79" t="s">
        <v>0</v>
      </c>
      <c r="B16" s="79"/>
      <c r="C16" s="77">
        <f t="shared" ref="C16:H16" si="0">SUM(C7:C15)</f>
        <v>3283125</v>
      </c>
      <c r="D16" s="77">
        <f t="shared" si="0"/>
        <v>3314054</v>
      </c>
      <c r="E16" s="77">
        <f t="shared" si="0"/>
        <v>3697599</v>
      </c>
      <c r="F16" s="77">
        <f t="shared" si="0"/>
        <v>4067359</v>
      </c>
      <c r="G16" s="77">
        <f t="shared" si="0"/>
        <v>4474095</v>
      </c>
      <c r="H16" s="77">
        <f t="shared" si="0"/>
        <v>4500000</v>
      </c>
    </row>
    <row r="17" spans="1:8" x14ac:dyDescent="0.25">
      <c r="A17" s="85"/>
      <c r="B17" s="85"/>
      <c r="C17" s="77"/>
      <c r="D17" s="77"/>
      <c r="E17" s="77"/>
      <c r="F17" s="77"/>
      <c r="G17" s="77"/>
      <c r="H17" s="77"/>
    </row>
    <row r="18" spans="1:8" x14ac:dyDescent="0.25">
      <c r="A18" s="86" t="s">
        <v>132</v>
      </c>
      <c r="B18" s="86"/>
      <c r="C18" s="83"/>
      <c r="D18" s="83"/>
      <c r="E18" s="83"/>
      <c r="F18" s="83"/>
      <c r="G18" s="83"/>
      <c r="H18" s="83"/>
    </row>
    <row r="19" spans="1:8" x14ac:dyDescent="0.25">
      <c r="A19" s="86" t="s">
        <v>147</v>
      </c>
      <c r="B19" s="86" t="s">
        <v>115</v>
      </c>
      <c r="C19" s="83">
        <f>1515150</f>
        <v>1515150</v>
      </c>
      <c r="D19" s="83">
        <v>1466200</v>
      </c>
      <c r="E19" s="83">
        <v>1652860</v>
      </c>
      <c r="F19" s="83">
        <v>1815146</v>
      </c>
      <c r="G19" s="83">
        <v>1999961</v>
      </c>
      <c r="H19" s="83">
        <v>2000000</v>
      </c>
    </row>
    <row r="20" spans="1:8" x14ac:dyDescent="0.25">
      <c r="A20" s="86" t="s">
        <v>148</v>
      </c>
      <c r="B20" s="86" t="s">
        <v>117</v>
      </c>
      <c r="C20" s="83">
        <v>1767208</v>
      </c>
      <c r="D20" s="83">
        <v>1847854</v>
      </c>
      <c r="E20" s="83">
        <v>2044739</v>
      </c>
      <c r="F20" s="83">
        <v>2249213</v>
      </c>
      <c r="G20" s="83">
        <v>2474134</v>
      </c>
      <c r="H20" s="83">
        <v>2500000</v>
      </c>
    </row>
    <row r="21" spans="1:8" x14ac:dyDescent="0.25">
      <c r="A21" s="86" t="s">
        <v>114</v>
      </c>
      <c r="B21" s="86" t="s">
        <v>116</v>
      </c>
      <c r="C21" s="87">
        <v>3283124.68</v>
      </c>
      <c r="D21" s="83">
        <f>D16</f>
        <v>3314054</v>
      </c>
      <c r="E21" s="83">
        <f>E16</f>
        <v>3697599</v>
      </c>
      <c r="F21" s="83">
        <f>F16</f>
        <v>4067359</v>
      </c>
      <c r="G21" s="83">
        <f>G16</f>
        <v>4474095</v>
      </c>
      <c r="H21" s="83">
        <f>H16</f>
        <v>4500000</v>
      </c>
    </row>
    <row r="22" spans="1:8" x14ac:dyDescent="0.25">
      <c r="A22" s="85"/>
      <c r="B22" s="85"/>
      <c r="C22" s="78"/>
      <c r="D22" s="77"/>
      <c r="E22" s="77"/>
      <c r="F22" s="77"/>
      <c r="G22" s="77"/>
      <c r="H22" s="77"/>
    </row>
    <row r="23" spans="1:8" x14ac:dyDescent="0.25">
      <c r="A23" s="85" t="s">
        <v>149</v>
      </c>
      <c r="B23" s="85"/>
      <c r="C23" s="78"/>
      <c r="D23" s="77"/>
      <c r="E23" s="77"/>
      <c r="F23" s="77"/>
      <c r="G23" s="77"/>
      <c r="H23" s="77"/>
    </row>
    <row r="24" spans="1:8" x14ac:dyDescent="0.25">
      <c r="A24" s="85" t="s">
        <v>19</v>
      </c>
      <c r="B24" s="85" t="s">
        <v>37</v>
      </c>
      <c r="C24" s="78"/>
      <c r="D24" s="77"/>
      <c r="E24" s="77"/>
      <c r="F24" s="77"/>
      <c r="G24" s="77"/>
      <c r="H24" s="77"/>
    </row>
    <row r="25" spans="1:8" x14ac:dyDescent="0.25">
      <c r="A25" s="85" t="s">
        <v>23</v>
      </c>
      <c r="B25" s="85" t="s">
        <v>24</v>
      </c>
      <c r="C25" s="78"/>
      <c r="D25" s="77"/>
      <c r="E25" s="77"/>
      <c r="F25" s="77"/>
      <c r="G25" s="77"/>
      <c r="H25" s="77"/>
    </row>
    <row r="26" spans="1:8" x14ac:dyDescent="0.25">
      <c r="A26" s="85" t="s">
        <v>20</v>
      </c>
      <c r="B26" s="85" t="s">
        <v>38</v>
      </c>
      <c r="C26" s="78"/>
      <c r="D26" s="77"/>
      <c r="E26" s="77"/>
      <c r="F26" s="77"/>
      <c r="G26" s="77"/>
      <c r="H26" s="77"/>
    </row>
    <row r="27" spans="1:8" x14ac:dyDescent="0.25">
      <c r="A27" s="85" t="s">
        <v>21</v>
      </c>
      <c r="B27" s="85" t="s">
        <v>39</v>
      </c>
      <c r="C27" s="78">
        <v>-3011</v>
      </c>
      <c r="D27" s="78">
        <v>-3011</v>
      </c>
      <c r="E27" s="78">
        <v>-3011</v>
      </c>
      <c r="F27" s="78">
        <v>-3011</v>
      </c>
      <c r="G27" s="78">
        <v>-3011</v>
      </c>
      <c r="H27" s="78">
        <v>-3011</v>
      </c>
    </row>
    <row r="28" spans="1:8" x14ac:dyDescent="0.25">
      <c r="A28" s="85" t="s">
        <v>133</v>
      </c>
      <c r="B28" s="85" t="s">
        <v>40</v>
      </c>
      <c r="C28" s="78">
        <v>-3256559</v>
      </c>
      <c r="D28" s="77">
        <v>-3470252</v>
      </c>
      <c r="E28" s="77">
        <v>-3790131</v>
      </c>
      <c r="F28" s="77">
        <v>-4136451</v>
      </c>
      <c r="G28" s="77">
        <v>-4515857</v>
      </c>
      <c r="H28" s="77">
        <v>-4550000</v>
      </c>
    </row>
    <row r="29" spans="1:8" x14ac:dyDescent="0.25">
      <c r="A29" s="85" t="s">
        <v>155</v>
      </c>
      <c r="B29" s="85" t="s">
        <v>156</v>
      </c>
      <c r="C29" s="78">
        <v>-2141826</v>
      </c>
      <c r="D29" s="77"/>
      <c r="E29" s="77"/>
      <c r="F29" s="77"/>
      <c r="G29" s="77"/>
      <c r="H29" s="77"/>
    </row>
    <row r="30" spans="1:8" x14ac:dyDescent="0.25">
      <c r="A30" s="85" t="s">
        <v>41</v>
      </c>
      <c r="B30" s="85" t="s">
        <v>42</v>
      </c>
      <c r="C30" s="78">
        <v>-7975</v>
      </c>
      <c r="D30" s="77">
        <v>-7800</v>
      </c>
      <c r="E30" s="77">
        <v>-7800</v>
      </c>
      <c r="F30" s="77">
        <v>-7800</v>
      </c>
      <c r="G30" s="77">
        <v>-7800</v>
      </c>
      <c r="H30" s="77">
        <v>-7800</v>
      </c>
    </row>
    <row r="31" spans="1:8" x14ac:dyDescent="0.25">
      <c r="A31" s="85" t="s">
        <v>43</v>
      </c>
      <c r="B31" s="85" t="s">
        <v>44</v>
      </c>
      <c r="C31" s="84"/>
    </row>
    <row r="32" spans="1:8" x14ac:dyDescent="0.25">
      <c r="A32" s="85" t="s">
        <v>45</v>
      </c>
      <c r="B32" s="85" t="s">
        <v>46</v>
      </c>
      <c r="C32" s="84"/>
      <c r="D32" s="84"/>
      <c r="E32" s="84"/>
      <c r="F32" s="84"/>
      <c r="G32" s="84"/>
      <c r="H32" s="84"/>
    </row>
    <row r="33" spans="1:8" x14ac:dyDescent="0.25">
      <c r="A33" s="85" t="s">
        <v>47</v>
      </c>
      <c r="B33" s="85" t="s">
        <v>48</v>
      </c>
      <c r="C33" s="84">
        <v>-4</v>
      </c>
      <c r="D33" s="84"/>
      <c r="E33" s="84"/>
      <c r="F33" s="84"/>
      <c r="G33" s="84"/>
      <c r="H33" s="84"/>
    </row>
    <row r="34" spans="1:8" x14ac:dyDescent="0.25">
      <c r="A34" s="79" t="s">
        <v>1</v>
      </c>
      <c r="B34" s="79"/>
      <c r="C34" s="77">
        <f>SUM(C24:C28)+SUM(C30:C33)</f>
        <v>-3267549</v>
      </c>
      <c r="D34" s="77">
        <f>SUM(D25:D33)</f>
        <v>-3481063</v>
      </c>
      <c r="E34" s="77">
        <f>SUM(E25:E33)</f>
        <v>-3800942</v>
      </c>
      <c r="F34" s="77">
        <f>SUM(F25:F33)</f>
        <v>-4147262</v>
      </c>
      <c r="G34" s="77">
        <f>SUM(G25:G33)</f>
        <v>-4526668</v>
      </c>
      <c r="H34" s="77">
        <f>SUM(H25:H33)</f>
        <v>-4560811</v>
      </c>
    </row>
    <row r="35" spans="1:8" x14ac:dyDescent="0.25">
      <c r="A35" s="79"/>
      <c r="B35" s="79"/>
      <c r="C35" s="77"/>
      <c r="D35" s="77"/>
      <c r="E35" s="77"/>
      <c r="F35" s="77"/>
      <c r="G35" s="77"/>
      <c r="H35" s="77"/>
    </row>
    <row r="36" spans="1:8" x14ac:dyDescent="0.25">
      <c r="A36" s="82" t="s">
        <v>150</v>
      </c>
      <c r="B36" s="82"/>
      <c r="C36" s="83"/>
      <c r="D36" s="83"/>
      <c r="E36" s="83"/>
      <c r="F36" s="83"/>
      <c r="G36" s="83"/>
      <c r="H36" s="83"/>
    </row>
    <row r="37" spans="1:8" x14ac:dyDescent="0.25">
      <c r="A37" s="82" t="s">
        <v>119</v>
      </c>
      <c r="B37" s="82" t="s">
        <v>118</v>
      </c>
      <c r="C37" s="83">
        <v>-3011</v>
      </c>
      <c r="D37" s="83">
        <f>D27</f>
        <v>-3011</v>
      </c>
      <c r="E37" s="83">
        <f>E27</f>
        <v>-3011</v>
      </c>
      <c r="F37" s="83">
        <f>F27</f>
        <v>-3011</v>
      </c>
      <c r="G37" s="83">
        <f>G27</f>
        <v>-3011</v>
      </c>
      <c r="H37" s="83">
        <f>H27</f>
        <v>-3011</v>
      </c>
    </row>
    <row r="38" spans="1:8" x14ac:dyDescent="0.25">
      <c r="A38" s="82" t="s">
        <v>133</v>
      </c>
      <c r="B38" s="82" t="s">
        <v>134</v>
      </c>
      <c r="C38" s="83">
        <v>-3256559</v>
      </c>
      <c r="D38" s="83">
        <v>-3470252</v>
      </c>
      <c r="E38" s="83">
        <v>-3790131</v>
      </c>
      <c r="F38" s="83">
        <v>-4136451</v>
      </c>
      <c r="G38" s="83">
        <v>-4515857</v>
      </c>
      <c r="H38" s="83">
        <v>-4550000</v>
      </c>
    </row>
    <row r="39" spans="1:8" x14ac:dyDescent="0.25">
      <c r="A39" s="82" t="s">
        <v>136</v>
      </c>
      <c r="B39" s="82" t="s">
        <v>135</v>
      </c>
      <c r="C39" s="83">
        <v>-450069</v>
      </c>
      <c r="D39" s="83">
        <f>D30+D40-2296</f>
        <v>-450096</v>
      </c>
      <c r="E39" s="83">
        <f>E30+E40+54</f>
        <v>-451034</v>
      </c>
      <c r="F39" s="83">
        <f>F30+F40+100</f>
        <v>-494443</v>
      </c>
      <c r="G39" s="83">
        <f>G30+G40+100</f>
        <v>-479688</v>
      </c>
      <c r="H39" s="83">
        <f>H30+H40+100</f>
        <v>-477700</v>
      </c>
    </row>
    <row r="40" spans="1:8" x14ac:dyDescent="0.25">
      <c r="A40" s="82" t="s">
        <v>138</v>
      </c>
      <c r="B40" s="82" t="s">
        <v>120</v>
      </c>
      <c r="C40" s="80">
        <v>-439427</v>
      </c>
      <c r="D40" s="83">
        <v>-440000</v>
      </c>
      <c r="E40" s="83">
        <v>-443288</v>
      </c>
      <c r="F40" s="83">
        <v>-486743</v>
      </c>
      <c r="G40" s="83">
        <v>-471988</v>
      </c>
      <c r="H40" s="83">
        <v>-470000</v>
      </c>
    </row>
    <row r="41" spans="1:8" x14ac:dyDescent="0.25">
      <c r="A41" s="82" t="s">
        <v>113</v>
      </c>
      <c r="B41" s="82" t="s">
        <v>137</v>
      </c>
      <c r="C41" s="87">
        <f t="shared" ref="C41:H41" si="1">SUM(C37:C39)</f>
        <v>-3709639</v>
      </c>
      <c r="D41" s="83">
        <f t="shared" si="1"/>
        <v>-3923359</v>
      </c>
      <c r="E41" s="83">
        <f t="shared" si="1"/>
        <v>-4244176</v>
      </c>
      <c r="F41" s="83">
        <f t="shared" si="1"/>
        <v>-4633905</v>
      </c>
      <c r="G41" s="83">
        <f t="shared" si="1"/>
        <v>-4998556</v>
      </c>
      <c r="H41" s="83">
        <f t="shared" si="1"/>
        <v>-5030711</v>
      </c>
    </row>
    <row r="42" spans="1:8" x14ac:dyDescent="0.25">
      <c r="A42" s="79"/>
      <c r="B42" s="79"/>
      <c r="C42" s="78"/>
      <c r="D42" s="77"/>
      <c r="E42" s="77"/>
      <c r="F42" s="77"/>
      <c r="G42" s="77"/>
      <c r="H42" s="77"/>
    </row>
    <row r="43" spans="1:8" x14ac:dyDescent="0.25">
      <c r="A43" s="76" t="s">
        <v>2</v>
      </c>
      <c r="B43" s="76"/>
      <c r="C43" s="90">
        <f t="shared" ref="C43:H43" si="2">C16+C34</f>
        <v>15576</v>
      </c>
      <c r="D43" s="90">
        <f t="shared" si="2"/>
        <v>-167009</v>
      </c>
      <c r="E43" s="90">
        <f t="shared" si="2"/>
        <v>-103343</v>
      </c>
      <c r="F43" s="90">
        <f t="shared" si="2"/>
        <v>-79903</v>
      </c>
      <c r="G43" s="90">
        <f t="shared" si="2"/>
        <v>-52573</v>
      </c>
      <c r="H43" s="90">
        <f t="shared" si="2"/>
        <v>-60811</v>
      </c>
    </row>
    <row r="44" spans="1:8" x14ac:dyDescent="0.25">
      <c r="A44" s="74" t="s">
        <v>3</v>
      </c>
      <c r="B44" s="74"/>
      <c r="C44" s="89">
        <f t="shared" ref="C44:H44" si="3">C43/C16</f>
        <v>4.7442604226156483E-3</v>
      </c>
      <c r="D44" s="89">
        <f t="shared" si="3"/>
        <v>-5.0394169799285106E-2</v>
      </c>
      <c r="E44" s="89">
        <f t="shared" si="3"/>
        <v>-2.794867696578239E-2</v>
      </c>
      <c r="F44" s="89">
        <f t="shared" si="3"/>
        <v>-1.9644934218985832E-2</v>
      </c>
      <c r="G44" s="89">
        <f t="shared" si="3"/>
        <v>-1.17505327893127E-2</v>
      </c>
      <c r="H44" s="89">
        <f t="shared" si="3"/>
        <v>-1.3513555555555555E-2</v>
      </c>
    </row>
    <row r="45" spans="1:8" x14ac:dyDescent="0.25">
      <c r="A45" s="74"/>
      <c r="B45" s="74"/>
      <c r="C45" s="73"/>
      <c r="D45" s="73"/>
      <c r="E45" s="73"/>
      <c r="F45" s="73"/>
      <c r="G45" s="73"/>
      <c r="H45" s="73"/>
    </row>
    <row r="46" spans="1:8" x14ac:dyDescent="0.25">
      <c r="A46" s="88" t="s">
        <v>130</v>
      </c>
      <c r="B46" s="88" t="s">
        <v>141</v>
      </c>
      <c r="C46" s="87">
        <f t="shared" ref="C46:H46" si="4">C21+C41</f>
        <v>-426514.31999999983</v>
      </c>
      <c r="D46" s="87">
        <f t="shared" si="4"/>
        <v>-609305</v>
      </c>
      <c r="E46" s="87">
        <f t="shared" si="4"/>
        <v>-546577</v>
      </c>
      <c r="F46" s="87">
        <f t="shared" si="4"/>
        <v>-566546</v>
      </c>
      <c r="G46" s="87">
        <f t="shared" si="4"/>
        <v>-524461</v>
      </c>
      <c r="H46" s="87">
        <f t="shared" si="4"/>
        <v>-530711</v>
      </c>
    </row>
    <row r="47" spans="1:8" x14ac:dyDescent="0.25">
      <c r="A47" s="74"/>
      <c r="B47" s="74"/>
      <c r="C47" s="73"/>
      <c r="D47" s="73"/>
      <c r="E47" s="73"/>
      <c r="F47" s="73"/>
      <c r="G47" s="73"/>
      <c r="H47" s="73"/>
    </row>
    <row r="48" spans="1:8" x14ac:dyDescent="0.25">
      <c r="A48" s="79" t="s">
        <v>151</v>
      </c>
      <c r="B48" s="79"/>
      <c r="C48" s="78"/>
      <c r="D48" s="77"/>
      <c r="E48" s="77"/>
      <c r="F48" s="77"/>
      <c r="G48" s="77"/>
      <c r="H48" s="77"/>
    </row>
    <row r="49" spans="1:8" x14ac:dyDescent="0.25">
      <c r="A49" s="85" t="s">
        <v>197</v>
      </c>
      <c r="B49" s="79"/>
      <c r="C49" s="84">
        <v>-31964</v>
      </c>
      <c r="D49" s="77"/>
      <c r="E49" s="77">
        <v>-116100</v>
      </c>
      <c r="F49" s="77">
        <v>-45000</v>
      </c>
      <c r="G49" s="77">
        <v>-380000</v>
      </c>
      <c r="H49" s="77">
        <v>-96000</v>
      </c>
    </row>
    <row r="50" spans="1:8" x14ac:dyDescent="0.25">
      <c r="A50" s="85" t="s">
        <v>142</v>
      </c>
      <c r="B50" s="79"/>
      <c r="C50" s="84"/>
      <c r="D50" s="77"/>
      <c r="E50" s="77"/>
      <c r="F50" s="77"/>
      <c r="G50" s="77"/>
      <c r="H50" s="77"/>
    </row>
    <row r="51" spans="1:8" x14ac:dyDescent="0.25">
      <c r="A51" s="85" t="s">
        <v>4</v>
      </c>
      <c r="B51" s="79"/>
      <c r="C51" s="84"/>
      <c r="D51" s="77"/>
      <c r="E51" s="77">
        <v>116100</v>
      </c>
      <c r="F51" s="77">
        <v>45000</v>
      </c>
      <c r="G51" s="77">
        <v>380000</v>
      </c>
      <c r="H51" s="77">
        <v>96000</v>
      </c>
    </row>
    <row r="52" spans="1:8" x14ac:dyDescent="0.25">
      <c r="A52" s="85" t="s">
        <v>5</v>
      </c>
      <c r="B52" s="79"/>
      <c r="C52" s="84"/>
      <c r="D52" s="77"/>
      <c r="E52" s="77"/>
      <c r="F52" s="77"/>
      <c r="G52" s="77"/>
      <c r="H52" s="77"/>
    </row>
    <row r="53" spans="1:8" x14ac:dyDescent="0.25">
      <c r="A53" s="85" t="s">
        <v>143</v>
      </c>
      <c r="B53" s="79"/>
      <c r="C53" s="84"/>
      <c r="D53" s="77"/>
      <c r="E53" s="77"/>
      <c r="F53" s="77"/>
      <c r="G53" s="77"/>
      <c r="H53" s="77"/>
    </row>
    <row r="54" spans="1:8" x14ac:dyDescent="0.25">
      <c r="A54" s="85" t="s">
        <v>196</v>
      </c>
      <c r="B54" s="79"/>
      <c r="C54" s="84"/>
      <c r="D54" s="77"/>
      <c r="E54" s="77"/>
      <c r="F54" s="77"/>
      <c r="G54" s="77"/>
      <c r="H54" s="77"/>
    </row>
    <row r="55" spans="1:8" x14ac:dyDescent="0.25">
      <c r="A55" s="85" t="s">
        <v>144</v>
      </c>
      <c r="B55" s="79"/>
      <c r="C55" s="84"/>
      <c r="D55" s="77"/>
      <c r="E55" s="77"/>
      <c r="F55" s="77"/>
      <c r="G55" s="77"/>
      <c r="H55" s="77"/>
    </row>
    <row r="56" spans="1:8" x14ac:dyDescent="0.25">
      <c r="A56" s="85" t="s">
        <v>109</v>
      </c>
      <c r="B56" s="79"/>
      <c r="C56" s="84"/>
      <c r="D56" s="77"/>
      <c r="E56" s="77"/>
      <c r="F56" s="77"/>
      <c r="G56" s="77"/>
      <c r="H56" s="77"/>
    </row>
    <row r="57" spans="1:8" x14ac:dyDescent="0.25">
      <c r="A57" s="85" t="s">
        <v>145</v>
      </c>
      <c r="B57" s="79"/>
      <c r="C57" s="84"/>
      <c r="D57" s="77"/>
      <c r="E57" s="77"/>
      <c r="F57" s="77"/>
      <c r="G57" s="77"/>
      <c r="H57" s="77"/>
    </row>
    <row r="58" spans="1:8" x14ac:dyDescent="0.25">
      <c r="A58" s="85" t="s">
        <v>195</v>
      </c>
      <c r="B58" s="79"/>
      <c r="C58" s="84">
        <v>-7400</v>
      </c>
      <c r="D58" s="77"/>
      <c r="E58" s="77"/>
      <c r="F58" s="77"/>
      <c r="G58" s="77"/>
      <c r="H58" s="77"/>
    </row>
    <row r="59" spans="1:8" x14ac:dyDescent="0.25">
      <c r="A59" s="85" t="s">
        <v>146</v>
      </c>
      <c r="B59" s="79"/>
      <c r="C59" s="84">
        <v>13695</v>
      </c>
      <c r="D59" s="77">
        <v>5383</v>
      </c>
      <c r="E59" s="77"/>
      <c r="F59" s="77"/>
      <c r="G59" s="77"/>
      <c r="H59" s="77"/>
    </row>
    <row r="60" spans="1:8" x14ac:dyDescent="0.25">
      <c r="A60" s="85" t="s">
        <v>194</v>
      </c>
      <c r="B60" s="79"/>
      <c r="C60" s="84">
        <v>-3414</v>
      </c>
      <c r="D60" s="77">
        <v>-2296</v>
      </c>
      <c r="E60" s="77">
        <v>54</v>
      </c>
      <c r="F60" s="77">
        <v>100</v>
      </c>
      <c r="G60" s="77">
        <v>100</v>
      </c>
      <c r="H60" s="77">
        <v>100</v>
      </c>
    </row>
    <row r="61" spans="1:8" x14ac:dyDescent="0.25">
      <c r="A61" s="85" t="s">
        <v>193</v>
      </c>
      <c r="B61" s="79"/>
      <c r="C61" s="78"/>
      <c r="D61" s="77"/>
      <c r="E61" s="77"/>
      <c r="F61" s="77"/>
      <c r="G61" s="77"/>
      <c r="H61" s="77"/>
    </row>
    <row r="62" spans="1:8" x14ac:dyDescent="0.25">
      <c r="A62" s="79" t="s">
        <v>6</v>
      </c>
      <c r="B62" s="79"/>
      <c r="C62" s="77">
        <f t="shared" ref="C62:H62" si="5">SUM(C49:C61)</f>
        <v>-29083</v>
      </c>
      <c r="D62" s="77">
        <f t="shared" si="5"/>
        <v>3087</v>
      </c>
      <c r="E62" s="77">
        <f t="shared" si="5"/>
        <v>54</v>
      </c>
      <c r="F62" s="77">
        <f t="shared" si="5"/>
        <v>100</v>
      </c>
      <c r="G62" s="77">
        <f t="shared" si="5"/>
        <v>100</v>
      </c>
      <c r="H62" s="77">
        <f t="shared" si="5"/>
        <v>100</v>
      </c>
    </row>
    <row r="63" spans="1:8" x14ac:dyDescent="0.25">
      <c r="A63" s="79"/>
      <c r="B63" s="79"/>
      <c r="C63" s="78"/>
      <c r="D63" s="77"/>
      <c r="E63" s="77"/>
      <c r="F63" s="77"/>
      <c r="G63" s="77"/>
      <c r="H63" s="77"/>
    </row>
    <row r="64" spans="1:8" x14ac:dyDescent="0.25">
      <c r="A64" s="76" t="s">
        <v>7</v>
      </c>
      <c r="B64" s="76"/>
      <c r="C64" s="75">
        <f t="shared" ref="C64:H64" si="6">C43+C62</f>
        <v>-13507</v>
      </c>
      <c r="D64" s="75">
        <f t="shared" si="6"/>
        <v>-163922</v>
      </c>
      <c r="E64" s="75">
        <f t="shared" si="6"/>
        <v>-103289</v>
      </c>
      <c r="F64" s="75">
        <f t="shared" si="6"/>
        <v>-79803</v>
      </c>
      <c r="G64" s="75">
        <f t="shared" si="6"/>
        <v>-52473</v>
      </c>
      <c r="H64" s="75">
        <f t="shared" si="6"/>
        <v>-60711</v>
      </c>
    </row>
    <row r="65" spans="1:8" x14ac:dyDescent="0.25">
      <c r="A65" s="79"/>
      <c r="B65" s="79"/>
      <c r="C65" s="78"/>
      <c r="D65" s="77"/>
      <c r="E65" s="77"/>
      <c r="F65" s="77"/>
      <c r="G65" s="77"/>
      <c r="H65" s="77"/>
    </row>
    <row r="66" spans="1:8" x14ac:dyDescent="0.25">
      <c r="A66" s="79" t="s">
        <v>93</v>
      </c>
      <c r="B66" s="79"/>
      <c r="C66" s="78"/>
      <c r="D66" s="77"/>
      <c r="E66" s="77"/>
      <c r="F66" s="77"/>
      <c r="G66" s="77"/>
      <c r="H66" s="77"/>
    </row>
    <row r="67" spans="1:8" x14ac:dyDescent="0.25">
      <c r="A67" s="85" t="s">
        <v>59</v>
      </c>
      <c r="B67" s="85" t="s">
        <v>50</v>
      </c>
      <c r="C67" s="84">
        <v>441941</v>
      </c>
      <c r="D67" s="84">
        <v>41759</v>
      </c>
      <c r="E67" s="84"/>
      <c r="F67" s="84"/>
      <c r="G67" s="84"/>
      <c r="H67" s="84"/>
    </row>
    <row r="68" spans="1:8" x14ac:dyDescent="0.25">
      <c r="A68" s="85" t="s">
        <v>60</v>
      </c>
      <c r="B68" s="85" t="s">
        <v>129</v>
      </c>
      <c r="C68" s="84">
        <v>41759</v>
      </c>
      <c r="D68" s="84"/>
      <c r="E68" s="84"/>
      <c r="F68" s="84"/>
      <c r="G68" s="84"/>
      <c r="H68" s="84"/>
    </row>
    <row r="69" spans="1:8" ht="60" x14ac:dyDescent="0.25">
      <c r="A69" s="85" t="s">
        <v>61</v>
      </c>
      <c r="B69" s="79" t="s">
        <v>51</v>
      </c>
      <c r="C69" s="84"/>
      <c r="D69" s="77"/>
      <c r="E69" s="77"/>
      <c r="F69" s="77"/>
      <c r="G69" s="77"/>
      <c r="H69" s="77"/>
    </row>
    <row r="70" spans="1:8" x14ac:dyDescent="0.25">
      <c r="A70" s="85" t="s">
        <v>52</v>
      </c>
      <c r="B70" s="85" t="s">
        <v>62</v>
      </c>
      <c r="C70" s="84"/>
      <c r="D70" s="77"/>
      <c r="E70" s="77"/>
      <c r="F70" s="77"/>
      <c r="G70" s="77"/>
      <c r="H70" s="77"/>
    </row>
    <row r="71" spans="1:8" x14ac:dyDescent="0.25">
      <c r="A71" s="85" t="s">
        <v>63</v>
      </c>
      <c r="B71" s="85" t="s">
        <v>64</v>
      </c>
      <c r="C71" s="84"/>
      <c r="D71" s="77"/>
      <c r="E71" s="77"/>
      <c r="F71" s="77"/>
      <c r="G71" s="77"/>
      <c r="H71" s="77"/>
    </row>
    <row r="72" spans="1:8" x14ac:dyDescent="0.25">
      <c r="A72" s="85" t="s">
        <v>65</v>
      </c>
      <c r="B72" s="85" t="s">
        <v>66</v>
      </c>
      <c r="C72" s="84"/>
      <c r="D72" s="77"/>
      <c r="E72" s="77"/>
      <c r="F72" s="77"/>
      <c r="G72" s="77"/>
      <c r="H72" s="77"/>
    </row>
    <row r="73" spans="1:8" x14ac:dyDescent="0.25">
      <c r="A73" s="85" t="s">
        <v>67</v>
      </c>
      <c r="B73" s="85" t="s">
        <v>68</v>
      </c>
      <c r="C73" s="84"/>
      <c r="D73" s="77"/>
      <c r="E73" s="77"/>
      <c r="F73" s="77"/>
      <c r="G73" s="77"/>
      <c r="H73" s="77"/>
    </row>
    <row r="74" spans="1:8" x14ac:dyDescent="0.25">
      <c r="A74" s="85" t="s">
        <v>53</v>
      </c>
      <c r="B74" s="85" t="s">
        <v>69</v>
      </c>
      <c r="C74" s="84"/>
      <c r="D74" s="77"/>
      <c r="E74" s="77"/>
      <c r="F74" s="77"/>
      <c r="G74" s="77"/>
      <c r="H74" s="77"/>
    </row>
    <row r="75" spans="1:8" x14ac:dyDescent="0.25">
      <c r="A75" s="85" t="s">
        <v>70</v>
      </c>
      <c r="B75" s="85" t="s">
        <v>71</v>
      </c>
      <c r="C75" s="84"/>
      <c r="D75" s="77"/>
      <c r="E75" s="77"/>
      <c r="F75" s="77"/>
      <c r="G75" s="77"/>
      <c r="H75" s="77"/>
    </row>
    <row r="76" spans="1:8" x14ac:dyDescent="0.25">
      <c r="A76" s="85" t="s">
        <v>54</v>
      </c>
      <c r="B76" s="85" t="s">
        <v>58</v>
      </c>
      <c r="C76" s="84"/>
      <c r="D76" s="77"/>
      <c r="E76" s="77"/>
      <c r="F76" s="77"/>
      <c r="G76" s="77"/>
      <c r="H76" s="77"/>
    </row>
    <row r="77" spans="1:8" x14ac:dyDescent="0.25">
      <c r="A77" s="85" t="s">
        <v>55</v>
      </c>
      <c r="B77" s="85" t="s">
        <v>72</v>
      </c>
      <c r="C77" s="84">
        <v>-30151</v>
      </c>
      <c r="D77" s="77"/>
      <c r="E77" s="77"/>
      <c r="F77" s="77"/>
      <c r="G77" s="77"/>
      <c r="H77" s="77"/>
    </row>
    <row r="78" spans="1:8" ht="45" x14ac:dyDescent="0.25">
      <c r="A78" s="85" t="s">
        <v>73</v>
      </c>
      <c r="B78" s="79" t="s">
        <v>74</v>
      </c>
      <c r="C78" s="84"/>
      <c r="D78" s="77"/>
      <c r="E78" s="77"/>
      <c r="F78" s="77"/>
      <c r="G78" s="77"/>
      <c r="H78" s="77"/>
    </row>
    <row r="79" spans="1:8" x14ac:dyDescent="0.25">
      <c r="A79" s="85" t="s">
        <v>56</v>
      </c>
      <c r="B79" s="85" t="s">
        <v>75</v>
      </c>
      <c r="C79" s="84"/>
      <c r="D79" s="77"/>
      <c r="E79" s="77"/>
      <c r="F79" s="77"/>
      <c r="G79" s="77"/>
      <c r="H79" s="77"/>
    </row>
    <row r="80" spans="1:8" x14ac:dyDescent="0.25">
      <c r="A80" s="85" t="s">
        <v>192</v>
      </c>
      <c r="B80" s="85" t="s">
        <v>77</v>
      </c>
      <c r="C80" s="84">
        <v>13000</v>
      </c>
      <c r="D80" s="77"/>
      <c r="E80" s="77"/>
      <c r="F80" s="77"/>
      <c r="G80" s="77"/>
      <c r="H80" s="77"/>
    </row>
    <row r="81" spans="1:8" x14ac:dyDescent="0.25">
      <c r="A81" s="85" t="s">
        <v>57</v>
      </c>
      <c r="B81" s="85" t="s">
        <v>78</v>
      </c>
      <c r="C81" s="84"/>
      <c r="D81" s="77"/>
      <c r="E81" s="77"/>
      <c r="F81" s="77"/>
      <c r="G81" s="77"/>
      <c r="H81" s="77"/>
    </row>
    <row r="82" spans="1:8" x14ac:dyDescent="0.25">
      <c r="A82" s="79" t="s">
        <v>8</v>
      </c>
      <c r="B82" s="79"/>
      <c r="C82" s="77">
        <f t="shared" ref="C82:H82" si="7">SUM(C67:C81)</f>
        <v>466549</v>
      </c>
      <c r="D82" s="77">
        <f t="shared" si="7"/>
        <v>41759</v>
      </c>
      <c r="E82" s="77">
        <f t="shared" si="7"/>
        <v>0</v>
      </c>
      <c r="F82" s="77">
        <f t="shared" si="7"/>
        <v>0</v>
      </c>
      <c r="G82" s="77">
        <f t="shared" si="7"/>
        <v>0</v>
      </c>
      <c r="H82" s="77">
        <f t="shared" si="7"/>
        <v>0</v>
      </c>
    </row>
    <row r="83" spans="1:8" x14ac:dyDescent="0.25">
      <c r="A83" s="79"/>
      <c r="B83" s="79"/>
      <c r="C83" s="78"/>
      <c r="D83" s="77"/>
      <c r="E83" s="77"/>
      <c r="F83" s="77"/>
      <c r="G83" s="77"/>
      <c r="H83" s="77"/>
    </row>
    <row r="84" spans="1:8" x14ac:dyDescent="0.25">
      <c r="A84" s="82" t="s">
        <v>125</v>
      </c>
      <c r="B84" s="86" t="s">
        <v>191</v>
      </c>
      <c r="C84" s="80">
        <v>-1303965</v>
      </c>
      <c r="D84" s="83">
        <v>-421973</v>
      </c>
      <c r="E84" s="83">
        <v>-378655</v>
      </c>
      <c r="F84" s="83">
        <v>-378655</v>
      </c>
      <c r="G84" s="83">
        <v>-378655</v>
      </c>
      <c r="H84" s="83">
        <v>-378655</v>
      </c>
    </row>
    <row r="85" spans="1:8" x14ac:dyDescent="0.25">
      <c r="A85" s="79"/>
      <c r="B85" s="79"/>
      <c r="C85" s="78"/>
      <c r="D85" s="77"/>
      <c r="E85" s="77"/>
      <c r="F85" s="77"/>
      <c r="G85" s="77"/>
      <c r="H85" s="77"/>
    </row>
    <row r="86" spans="1:8" x14ac:dyDescent="0.25">
      <c r="A86" s="79" t="s">
        <v>152</v>
      </c>
      <c r="B86" s="79"/>
      <c r="C86" s="78"/>
      <c r="D86" s="77"/>
      <c r="E86" s="77"/>
      <c r="F86" s="77"/>
      <c r="G86" s="77"/>
      <c r="H86" s="77"/>
    </row>
    <row r="87" spans="1:8" x14ac:dyDescent="0.25">
      <c r="A87" s="85" t="s">
        <v>9</v>
      </c>
      <c r="B87" s="85" t="s">
        <v>190</v>
      </c>
      <c r="C87" s="78">
        <v>-722114</v>
      </c>
      <c r="D87" s="77">
        <v>-400000</v>
      </c>
      <c r="E87" s="77">
        <v>-400000</v>
      </c>
      <c r="F87" s="77">
        <v>-400000</v>
      </c>
      <c r="G87" s="77">
        <v>-400000</v>
      </c>
      <c r="H87" s="77">
        <v>-400000</v>
      </c>
    </row>
    <row r="88" spans="1:8" x14ac:dyDescent="0.25">
      <c r="A88" s="85" t="s">
        <v>88</v>
      </c>
      <c r="B88" s="85" t="s">
        <v>189</v>
      </c>
      <c r="C88" s="78"/>
      <c r="D88" s="77"/>
      <c r="E88" s="77"/>
      <c r="F88" s="77"/>
      <c r="G88" s="77"/>
      <c r="H88" s="77"/>
    </row>
    <row r="89" spans="1:8" x14ac:dyDescent="0.25">
      <c r="A89" s="85" t="s">
        <v>88</v>
      </c>
      <c r="B89" s="85" t="s">
        <v>188</v>
      </c>
      <c r="C89" s="78"/>
      <c r="D89" s="77"/>
      <c r="E89" s="77"/>
      <c r="F89" s="77"/>
      <c r="G89" s="77"/>
      <c r="H89" s="77"/>
    </row>
    <row r="90" spans="1:8" x14ac:dyDescent="0.25">
      <c r="A90" s="85" t="s">
        <v>89</v>
      </c>
      <c r="B90" s="85" t="s">
        <v>187</v>
      </c>
      <c r="C90" s="78"/>
      <c r="D90" s="77"/>
      <c r="E90" s="77"/>
      <c r="F90" s="77"/>
      <c r="G90" s="77"/>
      <c r="H90" s="77"/>
    </row>
    <row r="91" spans="1:8" x14ac:dyDescent="0.25">
      <c r="A91" s="85" t="s">
        <v>90</v>
      </c>
      <c r="B91" s="85" t="s">
        <v>186</v>
      </c>
      <c r="C91" s="78"/>
      <c r="D91" s="77"/>
      <c r="E91" s="77"/>
      <c r="F91" s="77"/>
      <c r="G91" s="77"/>
      <c r="H91" s="77"/>
    </row>
    <row r="92" spans="1:8" x14ac:dyDescent="0.25">
      <c r="A92" s="85" t="s">
        <v>79</v>
      </c>
      <c r="B92" s="85" t="s">
        <v>185</v>
      </c>
      <c r="C92" s="78"/>
      <c r="D92" s="77"/>
      <c r="E92" s="77"/>
      <c r="F92" s="77"/>
      <c r="G92" s="77"/>
      <c r="H92" s="77"/>
    </row>
    <row r="93" spans="1:8" x14ac:dyDescent="0.25">
      <c r="A93" s="85" t="s">
        <v>91</v>
      </c>
      <c r="B93" s="85" t="s">
        <v>184</v>
      </c>
      <c r="C93" s="78"/>
      <c r="D93" s="77"/>
      <c r="E93" s="77"/>
      <c r="F93" s="77"/>
      <c r="G93" s="77"/>
      <c r="H93" s="77"/>
    </row>
    <row r="94" spans="1:8" x14ac:dyDescent="0.25">
      <c r="A94" s="85" t="s">
        <v>92</v>
      </c>
      <c r="B94" s="85" t="s">
        <v>183</v>
      </c>
      <c r="C94" s="84"/>
      <c r="D94" s="77"/>
      <c r="E94" s="77"/>
      <c r="F94" s="77"/>
      <c r="G94" s="77"/>
      <c r="H94" s="77"/>
    </row>
    <row r="95" spans="1:8" x14ac:dyDescent="0.25">
      <c r="A95" s="79" t="s">
        <v>10</v>
      </c>
      <c r="B95" s="79"/>
      <c r="C95" s="77">
        <f t="shared" ref="C95:H95" si="8">SUM(C87:C94)</f>
        <v>-722114</v>
      </c>
      <c r="D95" s="77">
        <f t="shared" si="8"/>
        <v>-400000</v>
      </c>
      <c r="E95" s="77">
        <f t="shared" si="8"/>
        <v>-400000</v>
      </c>
      <c r="F95" s="77">
        <f t="shared" si="8"/>
        <v>-400000</v>
      </c>
      <c r="G95" s="77">
        <f t="shared" si="8"/>
        <v>-400000</v>
      </c>
      <c r="H95" s="77">
        <f t="shared" si="8"/>
        <v>-400000</v>
      </c>
    </row>
    <row r="96" spans="1:8" x14ac:dyDescent="0.25">
      <c r="A96" s="79"/>
      <c r="B96" s="79"/>
      <c r="C96" s="78"/>
      <c r="D96" s="77"/>
      <c r="E96" s="77"/>
      <c r="F96" s="77"/>
      <c r="G96" s="77"/>
      <c r="H96" s="77"/>
    </row>
    <row r="97" spans="1:8" x14ac:dyDescent="0.25">
      <c r="A97" s="82" t="s">
        <v>121</v>
      </c>
      <c r="B97" s="82" t="s">
        <v>126</v>
      </c>
      <c r="C97" s="80">
        <v>1444529</v>
      </c>
      <c r="D97" s="83">
        <v>688318</v>
      </c>
      <c r="E97" s="83">
        <v>645000</v>
      </c>
      <c r="F97" s="83">
        <v>645000</v>
      </c>
      <c r="G97" s="83">
        <v>645000</v>
      </c>
      <c r="H97" s="83">
        <v>645000</v>
      </c>
    </row>
    <row r="98" spans="1:8" x14ac:dyDescent="0.25">
      <c r="A98" s="82" t="s">
        <v>122</v>
      </c>
      <c r="B98" s="82" t="s">
        <v>127</v>
      </c>
      <c r="C98" s="80">
        <v>7461758</v>
      </c>
      <c r="D98" s="83">
        <v>6936969</v>
      </c>
      <c r="E98" s="83">
        <v>6493681</v>
      </c>
      <c r="F98" s="83">
        <v>6326938</v>
      </c>
      <c r="G98" s="83">
        <v>5934950</v>
      </c>
      <c r="H98" s="83">
        <v>5934950</v>
      </c>
    </row>
    <row r="99" spans="1:8" x14ac:dyDescent="0.25">
      <c r="A99" s="82" t="s">
        <v>131</v>
      </c>
      <c r="B99" s="82"/>
      <c r="C99" s="80"/>
      <c r="D99" s="83"/>
      <c r="E99" s="83"/>
      <c r="F99" s="83"/>
      <c r="G99" s="83"/>
      <c r="H99" s="83"/>
    </row>
    <row r="100" spans="1:8" x14ac:dyDescent="0.25">
      <c r="A100" s="82" t="s">
        <v>123</v>
      </c>
      <c r="B100" s="82" t="s">
        <v>128</v>
      </c>
      <c r="C100" s="80">
        <f t="shared" ref="C100:H100" si="9">C97+C98</f>
        <v>8906287</v>
      </c>
      <c r="D100" s="81">
        <f t="shared" si="9"/>
        <v>7625287</v>
      </c>
      <c r="E100" s="80">
        <f t="shared" si="9"/>
        <v>7138681</v>
      </c>
      <c r="F100" s="80">
        <f t="shared" si="9"/>
        <v>6971938</v>
      </c>
      <c r="G100" s="80">
        <f t="shared" si="9"/>
        <v>6579950</v>
      </c>
      <c r="H100" s="80">
        <f t="shared" si="9"/>
        <v>6579950</v>
      </c>
    </row>
    <row r="101" spans="1:8" x14ac:dyDescent="0.25">
      <c r="A101" s="79"/>
      <c r="B101" s="79"/>
      <c r="C101" s="78"/>
      <c r="D101" s="77"/>
      <c r="E101" s="77"/>
      <c r="F101" s="77"/>
      <c r="G101" s="77"/>
      <c r="H101" s="77"/>
    </row>
    <row r="102" spans="1:8" x14ac:dyDescent="0.25">
      <c r="A102" s="76" t="s">
        <v>11</v>
      </c>
      <c r="B102" s="76"/>
      <c r="C102" s="75">
        <f t="shared" ref="C102:H102" si="10">C82+C95</f>
        <v>-255565</v>
      </c>
      <c r="D102" s="75">
        <f t="shared" si="10"/>
        <v>-358241</v>
      </c>
      <c r="E102" s="75">
        <f t="shared" si="10"/>
        <v>-400000</v>
      </c>
      <c r="F102" s="75">
        <f t="shared" si="10"/>
        <v>-400000</v>
      </c>
      <c r="G102" s="75">
        <f t="shared" si="10"/>
        <v>-400000</v>
      </c>
      <c r="H102" s="75">
        <f t="shared" si="10"/>
        <v>-400000</v>
      </c>
    </row>
    <row r="103" spans="1:8" x14ac:dyDescent="0.25">
      <c r="A103" s="74" t="s">
        <v>3</v>
      </c>
      <c r="B103" s="74"/>
      <c r="C103" s="73">
        <f t="shared" ref="C103:H103" si="11">C102/C16</f>
        <v>-7.7841995050447366E-2</v>
      </c>
      <c r="D103" s="73">
        <f t="shared" si="11"/>
        <v>-0.10809751440380874</v>
      </c>
      <c r="E103" s="73">
        <f t="shared" si="11"/>
        <v>-0.10817830705817477</v>
      </c>
      <c r="F103" s="73">
        <f t="shared" si="11"/>
        <v>-9.8343913089550247E-2</v>
      </c>
      <c r="G103" s="73">
        <f t="shared" si="11"/>
        <v>-8.9403555355887621E-2</v>
      </c>
      <c r="H103" s="73">
        <f t="shared" si="11"/>
        <v>-8.8888888888888892E-2</v>
      </c>
    </row>
    <row r="104" spans="1:8" x14ac:dyDescent="0.25">
      <c r="A104" s="72"/>
      <c r="B104" s="72"/>
      <c r="C104" s="71"/>
      <c r="D104" s="71"/>
      <c r="E104" s="71"/>
      <c r="F104" s="71"/>
      <c r="G104" s="71"/>
      <c r="H104" s="71"/>
    </row>
    <row r="105" spans="1:8" ht="15" customHeight="1" x14ac:dyDescent="0.25">
      <c r="A105" s="102" t="s">
        <v>139</v>
      </c>
      <c r="B105" s="102"/>
      <c r="C105" s="102"/>
      <c r="D105" s="102"/>
      <c r="E105" s="102"/>
      <c r="F105" s="102"/>
      <c r="G105" s="102"/>
      <c r="H105" s="102"/>
    </row>
    <row r="106" spans="1:8" x14ac:dyDescent="0.25">
      <c r="A106" s="64" t="s">
        <v>154</v>
      </c>
      <c r="B106" s="70"/>
      <c r="C106" s="69"/>
      <c r="D106" s="69"/>
      <c r="E106" s="69"/>
      <c r="F106" s="69"/>
      <c r="G106" s="69"/>
      <c r="H106" s="69"/>
    </row>
    <row r="107" spans="1:8" x14ac:dyDescent="0.25">
      <c r="A107" s="64" t="s">
        <v>153</v>
      </c>
    </row>
    <row r="108" spans="1:8" ht="30" customHeight="1" x14ac:dyDescent="0.25">
      <c r="A108" s="103" t="s">
        <v>182</v>
      </c>
      <c r="B108" s="103"/>
      <c r="C108" s="103"/>
      <c r="D108" s="103"/>
      <c r="E108" s="103"/>
      <c r="F108" s="103"/>
      <c r="G108" s="103"/>
      <c r="H108" s="103"/>
    </row>
    <row r="109" spans="1:8" ht="45.75" customHeight="1" x14ac:dyDescent="0.25">
      <c r="A109" s="103" t="s">
        <v>181</v>
      </c>
      <c r="B109" s="103"/>
      <c r="C109" s="103"/>
      <c r="D109" s="103"/>
      <c r="E109" s="103"/>
      <c r="F109" s="103"/>
      <c r="G109" s="103"/>
      <c r="H109" s="103"/>
    </row>
    <row r="110" spans="1:8" ht="30" customHeight="1" x14ac:dyDescent="0.25">
      <c r="A110" s="103" t="s">
        <v>180</v>
      </c>
      <c r="B110" s="103"/>
      <c r="C110" s="103"/>
      <c r="D110" s="103"/>
      <c r="E110" s="103"/>
      <c r="F110" s="103"/>
      <c r="G110" s="103"/>
      <c r="H110" s="103"/>
    </row>
    <row r="111" spans="1:8" ht="30" customHeight="1" x14ac:dyDescent="0.25">
      <c r="A111" s="103" t="s">
        <v>179</v>
      </c>
      <c r="B111" s="103"/>
      <c r="C111" s="103"/>
      <c r="D111" s="103"/>
      <c r="E111" s="103"/>
      <c r="F111" s="103"/>
      <c r="G111" s="103"/>
      <c r="H111" s="103"/>
    </row>
    <row r="112" spans="1:8" ht="15" customHeight="1" x14ac:dyDescent="0.25">
      <c r="A112" s="103" t="s">
        <v>178</v>
      </c>
      <c r="B112" s="103"/>
      <c r="C112" s="103"/>
      <c r="D112" s="103"/>
      <c r="E112" s="103"/>
      <c r="F112" s="103"/>
      <c r="G112" s="103"/>
      <c r="H112" s="103"/>
    </row>
    <row r="113" spans="1:8" ht="15" customHeight="1" x14ac:dyDescent="0.25">
      <c r="A113" s="103" t="s">
        <v>177</v>
      </c>
      <c r="B113" s="103"/>
      <c r="C113" s="103"/>
      <c r="D113" s="103"/>
      <c r="E113" s="103"/>
      <c r="F113" s="103"/>
      <c r="G113" s="103"/>
      <c r="H113" s="103"/>
    </row>
    <row r="114" spans="1:8" ht="15" customHeight="1" x14ac:dyDescent="0.25">
      <c r="A114" s="103" t="s">
        <v>176</v>
      </c>
      <c r="B114" s="103"/>
      <c r="C114" s="103"/>
      <c r="D114" s="103"/>
      <c r="E114" s="103"/>
      <c r="F114" s="103"/>
      <c r="G114" s="103"/>
      <c r="H114" s="103"/>
    </row>
    <row r="115" spans="1:8" ht="30" customHeight="1" x14ac:dyDescent="0.25">
      <c r="A115" s="103" t="s">
        <v>175</v>
      </c>
      <c r="B115" s="103"/>
      <c r="C115" s="103"/>
      <c r="D115" s="103"/>
      <c r="E115" s="103"/>
      <c r="F115" s="103"/>
      <c r="G115" s="103"/>
      <c r="H115" s="103"/>
    </row>
    <row r="116" spans="1:8" ht="30" customHeight="1" x14ac:dyDescent="0.25">
      <c r="A116" s="103" t="s">
        <v>174</v>
      </c>
      <c r="B116" s="103"/>
      <c r="C116" s="103"/>
      <c r="D116" s="103"/>
      <c r="E116" s="103"/>
      <c r="F116" s="103"/>
      <c r="G116" s="103"/>
      <c r="H116" s="103"/>
    </row>
    <row r="117" spans="1:8" ht="30" customHeight="1" x14ac:dyDescent="0.25">
      <c r="A117" s="103" t="s">
        <v>173</v>
      </c>
      <c r="B117" s="103"/>
      <c r="C117" s="103"/>
      <c r="D117" s="103"/>
      <c r="E117" s="103"/>
      <c r="F117" s="103"/>
      <c r="G117" s="103"/>
      <c r="H117" s="103"/>
    </row>
    <row r="118" spans="1:8" ht="30" customHeight="1" x14ac:dyDescent="0.25">
      <c r="A118" s="103" t="s">
        <v>172</v>
      </c>
      <c r="B118" s="103"/>
      <c r="C118" s="103"/>
      <c r="D118" s="103"/>
      <c r="E118" s="103"/>
      <c r="F118" s="103"/>
      <c r="G118" s="103"/>
      <c r="H118" s="103"/>
    </row>
    <row r="119" spans="1:8" ht="15" customHeight="1" x14ac:dyDescent="0.25">
      <c r="A119" s="103" t="s">
        <v>171</v>
      </c>
      <c r="B119" s="103"/>
      <c r="C119" s="103"/>
      <c r="D119" s="103"/>
      <c r="E119" s="103"/>
      <c r="F119" s="103"/>
      <c r="G119" s="103"/>
      <c r="H119" s="103"/>
    </row>
    <row r="120" spans="1:8" ht="15" customHeight="1" x14ac:dyDescent="0.25">
      <c r="A120" s="103" t="s">
        <v>170</v>
      </c>
      <c r="B120" s="103"/>
      <c r="C120" s="103"/>
      <c r="D120" s="103"/>
      <c r="E120" s="103"/>
      <c r="F120" s="103"/>
      <c r="G120" s="103"/>
      <c r="H120" s="103"/>
    </row>
    <row r="121" spans="1:8" x14ac:dyDescent="0.25">
      <c r="B121" s="68"/>
    </row>
    <row r="122" spans="1:8" x14ac:dyDescent="0.25">
      <c r="A122" s="67" t="s">
        <v>158</v>
      </c>
      <c r="B122" s="66" t="s">
        <v>169</v>
      </c>
      <c r="C122" s="65" t="s">
        <v>168</v>
      </c>
    </row>
  </sheetData>
  <mergeCells count="14">
    <mergeCell ref="A117:H117"/>
    <mergeCell ref="A118:H118"/>
    <mergeCell ref="A119:H119"/>
    <mergeCell ref="A120:H120"/>
    <mergeCell ref="A112:H112"/>
    <mergeCell ref="A113:H113"/>
    <mergeCell ref="A114:H114"/>
    <mergeCell ref="A115:H115"/>
    <mergeCell ref="A116:H116"/>
    <mergeCell ref="A105:H105"/>
    <mergeCell ref="A108:H108"/>
    <mergeCell ref="A109:H109"/>
    <mergeCell ref="A110:H110"/>
    <mergeCell ref="A111:H111"/>
  </mergeCells>
  <hyperlinks>
    <hyperlink ref="C122" r:id="rId1"/>
  </hyperlinks>
  <pageMargins left="0.22013888888888899" right="0.15972222222222199" top="0.32013888888888897" bottom="0.19027777777777799" header="0.51180555555555496" footer="0.51180555555555496"/>
  <pageSetup paperSize="9" firstPageNumber="0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workbookViewId="0">
      <selection activeCell="C33" sqref="C33"/>
    </sheetView>
  </sheetViews>
  <sheetFormatPr defaultColWidth="8.85546875"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8.85546875" style="32"/>
  </cols>
  <sheetData>
    <row r="1" spans="1:8" ht="30" x14ac:dyDescent="0.25">
      <c r="A1" s="34" t="s">
        <v>159</v>
      </c>
      <c r="B1" s="31" t="s">
        <v>201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105"/>
      <c r="D5" s="7"/>
      <c r="E5" s="7"/>
      <c r="F5" s="7"/>
      <c r="G5" s="7"/>
      <c r="H5" s="7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147821.21</v>
      </c>
      <c r="D8" s="7">
        <v>52292</v>
      </c>
      <c r="E8" s="7">
        <v>60000</v>
      </c>
      <c r="F8" s="7">
        <v>70000</v>
      </c>
      <c r="G8" s="7">
        <v>70000</v>
      </c>
      <c r="H8" s="7">
        <v>70000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796774</v>
      </c>
      <c r="D10" s="7">
        <f>849302-2500</f>
        <v>846802</v>
      </c>
      <c r="E10" s="7">
        <f>843802*1.05</f>
        <v>885992.10000000009</v>
      </c>
      <c r="F10" s="7">
        <f>E10*1.05</f>
        <v>930291.70500000019</v>
      </c>
      <c r="G10" s="7">
        <f>F10*1.05</f>
        <v>976806.29025000019</v>
      </c>
      <c r="H10" s="7">
        <f>G10*1.05</f>
        <v>1025646.6047625003</v>
      </c>
    </row>
    <row r="11" spans="1:8" x14ac:dyDescent="0.25">
      <c r="A11" s="13" t="s">
        <v>16</v>
      </c>
      <c r="B11" s="13" t="s">
        <v>30</v>
      </c>
      <c r="C11" s="51">
        <v>8800</v>
      </c>
      <c r="D11" s="7">
        <v>2500</v>
      </c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/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953395.21</v>
      </c>
      <c r="D16" s="7">
        <f>SUM(D7:D15)</f>
        <v>901594</v>
      </c>
      <c r="E16" s="7">
        <f>SUM(E7:E15)</f>
        <v>945992.10000000009</v>
      </c>
      <c r="F16" s="7">
        <f>SUM(F7:F15)</f>
        <v>1000291.7050000002</v>
      </c>
      <c r="G16" s="7">
        <f>SUM(G7:G15)</f>
        <v>1046806.2902500002</v>
      </c>
      <c r="H16" s="7">
        <f>SUM(H7:H15)</f>
        <v>1095646.6047625002</v>
      </c>
    </row>
    <row r="17" spans="1:10" x14ac:dyDescent="0.25">
      <c r="A17" s="13"/>
      <c r="B17" s="13"/>
      <c r="C17" s="7"/>
      <c r="D17" s="7"/>
      <c r="E17" s="7"/>
      <c r="F17" s="7"/>
      <c r="G17" s="7"/>
      <c r="H17" s="7"/>
    </row>
    <row r="18" spans="1:10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10" s="17" customFormat="1" x14ac:dyDescent="0.25">
      <c r="A19" s="18" t="s">
        <v>147</v>
      </c>
      <c r="B19" s="18" t="s">
        <v>115</v>
      </c>
      <c r="C19" s="19">
        <f>C8</f>
        <v>147821.21</v>
      </c>
      <c r="D19" s="19">
        <f>D8</f>
        <v>52292</v>
      </c>
      <c r="E19" s="19">
        <f>E8</f>
        <v>60000</v>
      </c>
      <c r="F19" s="19">
        <f>F8</f>
        <v>70000</v>
      </c>
      <c r="G19" s="19">
        <f>G8</f>
        <v>70000</v>
      </c>
      <c r="H19" s="19">
        <f>H8</f>
        <v>70000</v>
      </c>
    </row>
    <row r="20" spans="1:10" s="17" customFormat="1" x14ac:dyDescent="0.25">
      <c r="A20" s="18" t="s">
        <v>148</v>
      </c>
      <c r="B20" s="18" t="s">
        <v>117</v>
      </c>
      <c r="C20" s="19">
        <f>C10+C11</f>
        <v>805574</v>
      </c>
      <c r="D20" s="19">
        <f>D10+D11</f>
        <v>849302</v>
      </c>
      <c r="E20" s="19">
        <f>E10+E11</f>
        <v>885992.10000000009</v>
      </c>
      <c r="F20" s="19">
        <f>F10+F11</f>
        <v>930291.70500000019</v>
      </c>
      <c r="G20" s="19">
        <f>G10+G11</f>
        <v>976806.29025000019</v>
      </c>
      <c r="H20" s="19">
        <f>H10+H11</f>
        <v>1025646.6047625003</v>
      </c>
    </row>
    <row r="21" spans="1:10" s="17" customFormat="1" x14ac:dyDescent="0.25">
      <c r="A21" s="18" t="s">
        <v>114</v>
      </c>
      <c r="B21" s="18" t="s">
        <v>116</v>
      </c>
      <c r="C21" s="19">
        <f>C19+C20+C14</f>
        <v>953395.21</v>
      </c>
      <c r="D21" s="19">
        <f>D19+D20+D14</f>
        <v>901594</v>
      </c>
      <c r="E21" s="19">
        <f>E19+E20+E14</f>
        <v>945992.10000000009</v>
      </c>
      <c r="F21" s="19">
        <f>F19+F20+F14</f>
        <v>1000291.7050000002</v>
      </c>
      <c r="G21" s="19">
        <f>G19+G20+G14</f>
        <v>1046806.2902500002</v>
      </c>
      <c r="H21" s="19">
        <f>H19+H20+H14</f>
        <v>1095646.6047625002</v>
      </c>
    </row>
    <row r="22" spans="1:10" x14ac:dyDescent="0.25">
      <c r="A22" s="13"/>
      <c r="B22" s="13"/>
      <c r="C22" s="51"/>
      <c r="D22" s="7"/>
      <c r="E22" s="7"/>
      <c r="F22" s="7"/>
      <c r="G22" s="7"/>
      <c r="H22" s="7"/>
    </row>
    <row r="23" spans="1:10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10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10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10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10" x14ac:dyDescent="0.25">
      <c r="A27" s="13" t="s">
        <v>21</v>
      </c>
      <c r="B27" s="13" t="s">
        <v>39</v>
      </c>
      <c r="C27" s="51">
        <v>-480.16</v>
      </c>
      <c r="D27" s="7">
        <v>-352</v>
      </c>
      <c r="E27" s="7">
        <v>-350</v>
      </c>
      <c r="F27" s="7">
        <v>-350</v>
      </c>
      <c r="G27" s="7">
        <v>-350</v>
      </c>
      <c r="H27" s="7">
        <v>-350</v>
      </c>
    </row>
    <row r="28" spans="1:10" x14ac:dyDescent="0.25">
      <c r="A28" s="13" t="s">
        <v>22</v>
      </c>
      <c r="B28" s="13" t="s">
        <v>40</v>
      </c>
      <c r="C28" s="51">
        <v>-939728.74</v>
      </c>
      <c r="D28" s="7">
        <v>-882423.12</v>
      </c>
      <c r="E28" s="7">
        <f>D28*1.05</f>
        <v>-926544.27600000007</v>
      </c>
      <c r="F28" s="7">
        <f>E28*1.05</f>
        <v>-972871.4898000001</v>
      </c>
      <c r="G28" s="7">
        <f>F28*1.05</f>
        <v>-1021515.0642900001</v>
      </c>
      <c r="H28" s="7">
        <f>G28*1.05</f>
        <v>-1072590.8175045003</v>
      </c>
      <c r="J28" s="104"/>
    </row>
    <row r="29" spans="1:10" x14ac:dyDescent="0.25">
      <c r="A29" s="2" t="s">
        <v>155</v>
      </c>
      <c r="B29" s="2" t="s">
        <v>156</v>
      </c>
      <c r="C29" s="51">
        <v>-771319.97</v>
      </c>
      <c r="D29" s="7">
        <v>-760881.95</v>
      </c>
      <c r="E29" s="7">
        <f>D29*1.05</f>
        <v>-798926.04749999999</v>
      </c>
      <c r="F29" s="7">
        <f>E29*1.05</f>
        <v>-838872.34987500007</v>
      </c>
      <c r="G29" s="7">
        <f>F29*1.05</f>
        <v>-880815.96736875013</v>
      </c>
      <c r="H29" s="7">
        <f>G29*1.05</f>
        <v>-924856.7657371877</v>
      </c>
    </row>
    <row r="30" spans="1:10" x14ac:dyDescent="0.25">
      <c r="A30" s="13" t="s">
        <v>41</v>
      </c>
      <c r="B30" s="13" t="s">
        <v>42</v>
      </c>
      <c r="C30" s="51">
        <v>-6950.28</v>
      </c>
      <c r="D30" s="7">
        <v>-11312.38</v>
      </c>
      <c r="E30" s="7">
        <f>-10000*1.03</f>
        <v>-10300</v>
      </c>
      <c r="F30" s="7">
        <f>E30*1.03</f>
        <v>-10609</v>
      </c>
      <c r="G30" s="7">
        <f>F30*1.03</f>
        <v>-10927.27</v>
      </c>
      <c r="H30" s="7">
        <f>G30*1.03</f>
        <v>-11255.088100000001</v>
      </c>
    </row>
    <row r="31" spans="1:10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10" x14ac:dyDescent="0.25">
      <c r="A32" s="13" t="s">
        <v>45</v>
      </c>
      <c r="B32" s="13" t="s">
        <v>46</v>
      </c>
      <c r="C32" s="51"/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113">
        <f>-1517.88</f>
        <v>-1517.88</v>
      </c>
      <c r="D33" s="51">
        <v>-1153.46</v>
      </c>
      <c r="E33" s="51">
        <v>-1074.96</v>
      </c>
      <c r="F33" s="51">
        <v>-1074.96</v>
      </c>
      <c r="G33" s="51">
        <v>-1074.96</v>
      </c>
      <c r="H33" s="51">
        <v>-1074.96</v>
      </c>
    </row>
    <row r="34" spans="1:8" x14ac:dyDescent="0.25">
      <c r="A34" s="5" t="s">
        <v>1</v>
      </c>
      <c r="B34" s="5"/>
      <c r="C34" s="7">
        <f>SUM(C24:C28)+SUM(C30:C33)</f>
        <v>-948677.06</v>
      </c>
      <c r="D34" s="7">
        <f>SUM(D24:D28)+SUM(D30:D33)</f>
        <v>-895240.96</v>
      </c>
      <c r="E34" s="7">
        <f>SUM(E24:E28)+SUM(E30:E33)</f>
        <v>-938269.23600000003</v>
      </c>
      <c r="F34" s="7">
        <f>SUM(F24:F28)+SUM(F30:F33)</f>
        <v>-984905.44980000006</v>
      </c>
      <c r="G34" s="7">
        <f>SUM(G24:G28)+SUM(G30:G33)</f>
        <v>-1033867.2942900001</v>
      </c>
      <c r="H34" s="7">
        <f>SUM(H24:H28)+SUM(H30:H33)</f>
        <v>-1085270.8656045003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f>C27</f>
        <v>-480.16</v>
      </c>
      <c r="D37" s="19">
        <f>D27</f>
        <v>-352</v>
      </c>
      <c r="E37" s="19">
        <f>E27</f>
        <v>-350</v>
      </c>
      <c r="F37" s="19">
        <f>F27</f>
        <v>-350</v>
      </c>
      <c r="G37" s="19">
        <f>G27</f>
        <v>-350</v>
      </c>
      <c r="H37" s="19">
        <f>H27</f>
        <v>-350</v>
      </c>
    </row>
    <row r="38" spans="1:8" s="17" customFormat="1" x14ac:dyDescent="0.25">
      <c r="A38" s="21" t="s">
        <v>133</v>
      </c>
      <c r="B38" s="21" t="s">
        <v>134</v>
      </c>
      <c r="C38" s="19">
        <f>C28</f>
        <v>-939728.74</v>
      </c>
      <c r="D38" s="19">
        <f>D28</f>
        <v>-882423.12</v>
      </c>
      <c r="E38" s="19">
        <f>E28</f>
        <v>-926544.27600000007</v>
      </c>
      <c r="F38" s="19">
        <f>F28</f>
        <v>-972871.4898000001</v>
      </c>
      <c r="G38" s="19">
        <f>G28</f>
        <v>-1021515.0642900001</v>
      </c>
      <c r="H38" s="19">
        <f>H28</f>
        <v>-1072590.8175045003</v>
      </c>
    </row>
    <row r="39" spans="1:8" s="17" customFormat="1" x14ac:dyDescent="0.25">
      <c r="A39" s="21" t="s">
        <v>136</v>
      </c>
      <c r="B39" s="21" t="s">
        <v>135</v>
      </c>
      <c r="C39" s="55">
        <f>C30+C33</f>
        <v>-8468.16</v>
      </c>
      <c r="D39" s="55">
        <f>D30+D33</f>
        <v>-12465.84</v>
      </c>
      <c r="E39" s="55">
        <f>E30+E33</f>
        <v>-11374.96</v>
      </c>
      <c r="F39" s="55">
        <f>F30+F33</f>
        <v>-11683.96</v>
      </c>
      <c r="G39" s="55">
        <f>G30+G33</f>
        <v>-12002.23</v>
      </c>
      <c r="H39" s="55">
        <f>H30+H33</f>
        <v>-12330.0481</v>
      </c>
    </row>
    <row r="40" spans="1:8" s="17" customFormat="1" x14ac:dyDescent="0.25">
      <c r="A40" s="21" t="s">
        <v>138</v>
      </c>
      <c r="B40" s="21" t="s">
        <v>120</v>
      </c>
      <c r="C40" s="55">
        <v>-1517.88</v>
      </c>
      <c r="D40" s="55">
        <v>-1516.88</v>
      </c>
      <c r="E40" s="55">
        <v>-1515.88</v>
      </c>
      <c r="F40" s="55">
        <v>-1514.88</v>
      </c>
      <c r="G40" s="55">
        <v>-1513.88</v>
      </c>
      <c r="H40" s="55">
        <v>-1512.88</v>
      </c>
    </row>
    <row r="41" spans="1:8" s="17" customFormat="1" x14ac:dyDescent="0.25">
      <c r="A41" s="21" t="s">
        <v>113</v>
      </c>
      <c r="B41" s="21" t="s">
        <v>137</v>
      </c>
      <c r="C41" s="19">
        <f>SUM(C37:C39)</f>
        <v>-948677.06</v>
      </c>
      <c r="D41" s="19">
        <f>SUM(D37:D39)</f>
        <v>-895240.96</v>
      </c>
      <c r="E41" s="19">
        <f>SUM(E37:E39)</f>
        <v>-938269.23600000003</v>
      </c>
      <c r="F41" s="19">
        <f>SUM(F37:F39)</f>
        <v>-984905.44980000006</v>
      </c>
      <c r="G41" s="19">
        <f>SUM(G37:G39)</f>
        <v>-1033867.2942900001</v>
      </c>
      <c r="H41" s="19">
        <f>SUM(H37:H39)</f>
        <v>-1085270.8656045003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4718.1499999999069</v>
      </c>
      <c r="D43" s="9">
        <f>D16+D34</f>
        <v>6353.0400000000373</v>
      </c>
      <c r="E43" s="9">
        <f>E16+E34</f>
        <v>7722.8640000000596</v>
      </c>
      <c r="F43" s="9">
        <f>F16+F34</f>
        <v>15386.255200000131</v>
      </c>
      <c r="G43" s="9">
        <f>G16+G34</f>
        <v>12938.995960000088</v>
      </c>
      <c r="H43" s="9">
        <f>H16+H34</f>
        <v>10375.739157999866</v>
      </c>
    </row>
    <row r="44" spans="1:8" x14ac:dyDescent="0.25">
      <c r="A44" s="10" t="s">
        <v>3</v>
      </c>
      <c r="B44" s="10"/>
      <c r="C44" s="11">
        <f>C43/C16</f>
        <v>4.948787187634294E-3</v>
      </c>
      <c r="D44" s="11">
        <f>D43/D16</f>
        <v>7.0464532816323505E-3</v>
      </c>
      <c r="E44" s="11">
        <f>E43/E16</f>
        <v>8.1637721921779885E-3</v>
      </c>
      <c r="F44" s="11">
        <f>F43/F16</f>
        <v>1.5381768261289468E-2</v>
      </c>
      <c r="G44" s="11">
        <f>G43/G16</f>
        <v>1.2360449187700212E-2</v>
      </c>
      <c r="H44" s="11">
        <f>H43/H16</f>
        <v>9.4699687955031656E-3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23">
        <f>C21+C41</f>
        <v>4718.1499999999069</v>
      </c>
      <c r="D46" s="23">
        <f>D21+D41</f>
        <v>6353.0400000000373</v>
      </c>
      <c r="E46" s="23">
        <f>E21+E41</f>
        <v>7722.8640000000596</v>
      </c>
      <c r="F46" s="23">
        <f>F21+F41</f>
        <v>15386.255200000131</v>
      </c>
      <c r="G46" s="23">
        <f>G21+G41</f>
        <v>12938.995960000088</v>
      </c>
      <c r="H46" s="23">
        <f>H21+H41</f>
        <v>10375.739157999866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/>
      <c r="D49" s="7"/>
      <c r="E49" s="7"/>
      <c r="F49" s="7"/>
      <c r="G49" s="7"/>
      <c r="H49" s="7"/>
    </row>
    <row r="50" spans="1:8" x14ac:dyDescent="0.25">
      <c r="A50" s="2" t="s">
        <v>142</v>
      </c>
      <c r="B50" s="5"/>
      <c r="C50" s="51">
        <v>2000</v>
      </c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/>
      <c r="D51" s="7"/>
      <c r="E51" s="7"/>
      <c r="F51" s="7"/>
      <c r="G51" s="7"/>
      <c r="H51" s="7"/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611.57000000000005</v>
      </c>
      <c r="D60" s="7"/>
      <c r="E60" s="7"/>
      <c r="F60" s="7"/>
      <c r="G60" s="7"/>
      <c r="H60" s="7"/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2611.5700000000002</v>
      </c>
      <c r="D62" s="16">
        <f>SUM(D49:D61)</f>
        <v>0</v>
      </c>
      <c r="E62" s="16">
        <f>SUM(E49:E61)</f>
        <v>0</v>
      </c>
      <c r="F62" s="16">
        <f>SUM(F49:F61)</f>
        <v>0</v>
      </c>
      <c r="G62" s="16">
        <f>SUM(G49:G61)</f>
        <v>0</v>
      </c>
      <c r="H62" s="16">
        <f>SUM(H49:H61)</f>
        <v>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7329.7199999999066</v>
      </c>
      <c r="D64" s="9">
        <f>D43+D62</f>
        <v>6353.0400000000373</v>
      </c>
      <c r="E64" s="9">
        <f>E43+E62</f>
        <v>7722.8640000000596</v>
      </c>
      <c r="F64" s="9">
        <f>F43+F62</f>
        <v>15386.255200000131</v>
      </c>
      <c r="G64" s="9">
        <f>G43+G62</f>
        <v>12938.995960000088</v>
      </c>
      <c r="H64" s="9">
        <f>H43+H62</f>
        <v>10375.739157999866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/>
      <c r="D67" s="54"/>
      <c r="E67" s="54"/>
      <c r="F67" s="54"/>
      <c r="G67" s="54"/>
      <c r="H67" s="54"/>
    </row>
    <row r="68" spans="1:8" s="17" customFormat="1" x14ac:dyDescent="0.25">
      <c r="A68" s="24" t="s">
        <v>60</v>
      </c>
      <c r="B68" s="15" t="s">
        <v>129</v>
      </c>
      <c r="C68" s="54"/>
      <c r="D68" s="54"/>
      <c r="E68" s="54"/>
      <c r="F68" s="54"/>
      <c r="G68" s="54"/>
      <c r="H68" s="54"/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>
        <v>12000</v>
      </c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12000</v>
      </c>
      <c r="D82" s="7">
        <f>SUM(D67:D81)</f>
        <v>0</v>
      </c>
      <c r="E82" s="7">
        <f>SUM(E67:E81)</f>
        <v>0</v>
      </c>
      <c r="F82" s="7">
        <f>SUM(F67:F81)</f>
        <v>0</v>
      </c>
      <c r="G82" s="7">
        <f>SUM(G67:G81)</f>
        <v>0</v>
      </c>
      <c r="H82" s="7">
        <f>SUM(H67:H81)</f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v>106204.45</v>
      </c>
      <c r="D84" s="19">
        <v>115000</v>
      </c>
      <c r="E84" s="19">
        <v>115000</v>
      </c>
      <c r="F84" s="19">
        <v>115000</v>
      </c>
      <c r="G84" s="19">
        <v>115000</v>
      </c>
      <c r="H84" s="19">
        <v>115000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-167760.19</v>
      </c>
      <c r="D87" s="16">
        <v>-50000</v>
      </c>
      <c r="E87" s="16">
        <v>-50000</v>
      </c>
      <c r="F87" s="16">
        <v>-50000</v>
      </c>
      <c r="G87" s="16">
        <v>-50000</v>
      </c>
      <c r="H87" s="16">
        <v>-50000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-167760.19</v>
      </c>
      <c r="D95" s="7">
        <f>SUM(D87:D94)</f>
        <v>-50000</v>
      </c>
      <c r="E95" s="7">
        <f>SUM(E87:E94)</f>
        <v>-50000</v>
      </c>
      <c r="F95" s="7">
        <f>SUM(F87:F94)</f>
        <v>-50000</v>
      </c>
      <c r="G95" s="7">
        <f>SUM(G87:G94)</f>
        <v>-50000</v>
      </c>
      <c r="H95" s="7">
        <f>SUM(H87:H94)</f>
        <v>-50000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178307.86</v>
      </c>
      <c r="D97" s="19">
        <v>100000</v>
      </c>
      <c r="E97" s="19">
        <v>100000</v>
      </c>
      <c r="F97" s="19">
        <v>100000</v>
      </c>
      <c r="G97" s="19">
        <v>100000</v>
      </c>
      <c r="H97" s="19">
        <v>100000</v>
      </c>
    </row>
    <row r="98" spans="1:8" s="17" customFormat="1" x14ac:dyDescent="0.25">
      <c r="A98" s="21" t="s">
        <v>122</v>
      </c>
      <c r="B98" s="21" t="s">
        <v>127</v>
      </c>
      <c r="C98" s="55">
        <v>13694.78</v>
      </c>
      <c r="D98" s="19">
        <f>C98+D33</f>
        <v>12541.32</v>
      </c>
      <c r="E98" s="19">
        <f>D98+E33</f>
        <v>11466.36</v>
      </c>
      <c r="F98" s="19">
        <f>E98+F33</f>
        <v>10391.400000000001</v>
      </c>
      <c r="G98" s="19">
        <f>F98+G33</f>
        <v>9316.4400000000023</v>
      </c>
      <c r="H98" s="19">
        <f>G98+H33</f>
        <v>8241.4800000000032</v>
      </c>
    </row>
    <row r="99" spans="1:8" s="17" customFormat="1" x14ac:dyDescent="0.25">
      <c r="A99" s="21" t="s">
        <v>131</v>
      </c>
      <c r="B99" s="21"/>
      <c r="C99" s="55"/>
      <c r="D99" s="19"/>
      <c r="E99" s="19"/>
      <c r="F99" s="19"/>
      <c r="G99" s="19"/>
      <c r="H99" s="19"/>
    </row>
    <row r="100" spans="1:8" s="17" customFormat="1" x14ac:dyDescent="0.25">
      <c r="A100" s="21" t="s">
        <v>123</v>
      </c>
      <c r="B100" s="21" t="s">
        <v>128</v>
      </c>
      <c r="C100" s="55">
        <f>C97+C98</f>
        <v>192002.63999999998</v>
      </c>
      <c r="D100" s="55">
        <f>D97+D98</f>
        <v>112541.32</v>
      </c>
      <c r="E100" s="55">
        <f>E97+E98</f>
        <v>111466.36</v>
      </c>
      <c r="F100" s="55">
        <f>F97+F98</f>
        <v>110391.4</v>
      </c>
      <c r="G100" s="55">
        <f>G97+G98</f>
        <v>109316.44</v>
      </c>
      <c r="H100" s="55">
        <f>H97+H98</f>
        <v>108241.48000000001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-155760.19</v>
      </c>
      <c r="D102" s="9">
        <f>D82+D95</f>
        <v>-50000</v>
      </c>
      <c r="E102" s="9">
        <f>E82+E95</f>
        <v>-50000</v>
      </c>
      <c r="F102" s="9">
        <f>F82+F95</f>
        <v>-50000</v>
      </c>
      <c r="G102" s="9">
        <f>G82+G95</f>
        <v>-50000</v>
      </c>
      <c r="H102" s="9">
        <f>H82+H95</f>
        <v>-50000</v>
      </c>
    </row>
    <row r="103" spans="1:8" x14ac:dyDescent="0.25">
      <c r="A103" s="10" t="s">
        <v>3</v>
      </c>
      <c r="B103" s="10"/>
      <c r="C103" s="11">
        <f>C102/C16</f>
        <v>-0.16337421078505315</v>
      </c>
      <c r="D103" s="11">
        <f>D102/D16</f>
        <v>-5.5457334454310919E-2</v>
      </c>
      <c r="E103" s="11">
        <f>E102/E16</f>
        <v>-5.2854564007458409E-2</v>
      </c>
      <c r="F103" s="11">
        <f>F102/F16</f>
        <v>-4.9985419003349615E-2</v>
      </c>
      <c r="G103" s="11">
        <f>G102/G16</f>
        <v>-4.7764328955320769E-2</v>
      </c>
      <c r="H103" s="11">
        <f>H102/H16</f>
        <v>-4.5635152596341357E-2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 t="s">
        <v>200</v>
      </c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6" t="s">
        <v>203</v>
      </c>
    </row>
    <row r="2" spans="1:8" x14ac:dyDescent="0.25">
      <c r="A2" s="30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33"/>
      <c r="D5" s="2"/>
      <c r="E5" s="2"/>
      <c r="F5" s="2"/>
      <c r="G5" s="2"/>
      <c r="H5" s="2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39058.94</v>
      </c>
      <c r="D8" s="7">
        <v>40000</v>
      </c>
      <c r="E8" s="7">
        <v>42000</v>
      </c>
      <c r="F8" s="7">
        <v>42000</v>
      </c>
      <c r="G8" s="7">
        <v>42000</v>
      </c>
      <c r="H8" s="7">
        <v>42000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f>4250924+132666</f>
        <v>4383590</v>
      </c>
      <c r="D10" s="7">
        <v>8304507</v>
      </c>
      <c r="E10" s="7">
        <v>7600000</v>
      </c>
      <c r="F10" s="7">
        <v>8540000</v>
      </c>
      <c r="G10" s="7">
        <v>9444500</v>
      </c>
      <c r="H10" s="7">
        <v>9770000</v>
      </c>
    </row>
    <row r="11" spans="1:8" x14ac:dyDescent="0.25">
      <c r="A11" s="13" t="s">
        <v>16</v>
      </c>
      <c r="B11" s="13" t="s">
        <v>30</v>
      </c>
      <c r="C11" s="51"/>
      <c r="D11" s="7"/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>
        <v>-2608.98</v>
      </c>
      <c r="D13" s="7">
        <v>-2000</v>
      </c>
      <c r="E13" s="7">
        <v>-2000</v>
      </c>
      <c r="F13" s="7">
        <v>-2000</v>
      </c>
      <c r="G13" s="7">
        <v>-2000</v>
      </c>
      <c r="H13" s="7">
        <v>-2000</v>
      </c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>
        <v>836</v>
      </c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4420875.96</v>
      </c>
      <c r="D16" s="7">
        <f>SUM(D7:D15)</f>
        <v>8342507</v>
      </c>
      <c r="E16" s="7">
        <f>SUM(E7:E15)</f>
        <v>7640000</v>
      </c>
      <c r="F16" s="7">
        <f>SUM(F7:F15)</f>
        <v>8580000</v>
      </c>
      <c r="G16" s="7">
        <f>SUM(G7:G15)</f>
        <v>9484500</v>
      </c>
      <c r="H16" s="7">
        <f>SUM(H7:H15)</f>
        <v>9810000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f>C8+C13+C15</f>
        <v>37285.96</v>
      </c>
      <c r="D19" s="19">
        <f>D8+D13+D15</f>
        <v>38000</v>
      </c>
      <c r="E19" s="19">
        <f>E8+E13+E15</f>
        <v>40000</v>
      </c>
      <c r="F19" s="19">
        <f>F8+F13+F15</f>
        <v>40000</v>
      </c>
      <c r="G19" s="19">
        <f>G8+G13+G15</f>
        <v>40000</v>
      </c>
      <c r="H19" s="19">
        <f>H8+H13+H15</f>
        <v>40000</v>
      </c>
    </row>
    <row r="20" spans="1:8" s="17" customFormat="1" x14ac:dyDescent="0.25">
      <c r="A20" s="18" t="s">
        <v>148</v>
      </c>
      <c r="B20" s="18" t="s">
        <v>117</v>
      </c>
      <c r="C20" s="19">
        <f>C10</f>
        <v>4383590</v>
      </c>
      <c r="D20" s="19">
        <f>D10</f>
        <v>8304507</v>
      </c>
      <c r="E20" s="19">
        <f>E10</f>
        <v>7600000</v>
      </c>
      <c r="F20" s="19">
        <f>F10</f>
        <v>8540000</v>
      </c>
      <c r="G20" s="19">
        <f>G10</f>
        <v>9444500</v>
      </c>
      <c r="H20" s="19">
        <f>H10</f>
        <v>9770000</v>
      </c>
    </row>
    <row r="21" spans="1:8" s="17" customFormat="1" x14ac:dyDescent="0.25">
      <c r="A21" s="18" t="s">
        <v>114</v>
      </c>
      <c r="B21" s="18" t="s">
        <v>116</v>
      </c>
      <c r="C21" s="19">
        <f>SUM(C19:C20)</f>
        <v>4420875.96</v>
      </c>
      <c r="D21" s="19">
        <f>SUM(D19:D20)</f>
        <v>8342507</v>
      </c>
      <c r="E21" s="19">
        <f>SUM(E19:E20)</f>
        <v>7640000</v>
      </c>
      <c r="F21" s="19">
        <f>SUM(F19:F20)</f>
        <v>8580000</v>
      </c>
      <c r="G21" s="19">
        <f>SUM(G19:G20)</f>
        <v>9484500</v>
      </c>
      <c r="H21" s="19">
        <f>SUM(H19:H20)</f>
        <v>9810000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>
        <v>-3429808.14</v>
      </c>
      <c r="D26" s="7">
        <v>-7231739</v>
      </c>
      <c r="E26" s="7">
        <v>-6519300</v>
      </c>
      <c r="F26" s="7">
        <v>-7464300</v>
      </c>
      <c r="G26" s="7">
        <v>-8299300</v>
      </c>
      <c r="H26" s="7">
        <v>-8624300</v>
      </c>
    </row>
    <row r="27" spans="1:8" x14ac:dyDescent="0.25">
      <c r="A27" s="13" t="s">
        <v>21</v>
      </c>
      <c r="B27" s="13" t="s">
        <v>39</v>
      </c>
      <c r="C27" s="51">
        <v>-6350</v>
      </c>
      <c r="D27" s="7">
        <v>-8500</v>
      </c>
      <c r="E27" s="7">
        <v>-8500</v>
      </c>
      <c r="F27" s="7">
        <v>-8500</v>
      </c>
      <c r="G27" s="7">
        <v>-8500</v>
      </c>
      <c r="H27" s="7">
        <v>-8500</v>
      </c>
    </row>
    <row r="28" spans="1:8" x14ac:dyDescent="0.25">
      <c r="A28" s="13" t="s">
        <v>22</v>
      </c>
      <c r="B28" s="13" t="s">
        <v>40</v>
      </c>
      <c r="C28" s="51">
        <f>-971426+61300</f>
        <v>-910126</v>
      </c>
      <c r="D28" s="7">
        <v>-905735</v>
      </c>
      <c r="E28" s="7">
        <v>-1034333</v>
      </c>
      <c r="F28" s="7">
        <v>-994191.2</v>
      </c>
      <c r="G28" s="7">
        <v>-1049691.2</v>
      </c>
      <c r="H28" s="7">
        <v>-1050191.2</v>
      </c>
    </row>
    <row r="29" spans="1:8" x14ac:dyDescent="0.25">
      <c r="A29" s="2" t="s">
        <v>155</v>
      </c>
      <c r="B29" s="2" t="s">
        <v>156</v>
      </c>
      <c r="C29" s="51">
        <v>-430161</v>
      </c>
      <c r="D29" s="7">
        <v>-407899.26</v>
      </c>
      <c r="E29" s="7">
        <v>-410000</v>
      </c>
      <c r="F29" s="7">
        <v>-410000</v>
      </c>
      <c r="G29" s="7">
        <v>-410000</v>
      </c>
      <c r="H29" s="7">
        <v>-410000</v>
      </c>
    </row>
    <row r="30" spans="1:8" x14ac:dyDescent="0.25">
      <c r="A30" s="13" t="s">
        <v>41</v>
      </c>
      <c r="B30" s="13" t="s">
        <v>42</v>
      </c>
      <c r="C30" s="51">
        <v>-48042.45</v>
      </c>
      <c r="D30" s="7">
        <v>-83825</v>
      </c>
      <c r="E30" s="7">
        <v>-77867</v>
      </c>
      <c r="F30" s="7">
        <v>-113008.8</v>
      </c>
      <c r="G30" s="7">
        <v>-127008.8</v>
      </c>
      <c r="H30" s="7">
        <v>-127008.8</v>
      </c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>
        <v>-12106</v>
      </c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>
        <v>-1151.67</v>
      </c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-4407584.2600000007</v>
      </c>
      <c r="D34" s="7">
        <f>SUM(D24:D28)+SUM(D30:D33)</f>
        <v>-8229799</v>
      </c>
      <c r="E34" s="7">
        <f>SUM(E24:E28)+SUM(E30:E33)</f>
        <v>-7640000</v>
      </c>
      <c r="F34" s="7">
        <f>SUM(F24:F28)+SUM(F30:F33)</f>
        <v>-8580000</v>
      </c>
      <c r="G34" s="7">
        <f>SUM(G24:G28)+SUM(G30:G33)</f>
        <v>-9484500</v>
      </c>
      <c r="H34" s="7">
        <f>SUM(H24:H28)+SUM(H30:H33)</f>
        <v>-9810000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f>C26+C27</f>
        <v>-3436158.14</v>
      </c>
      <c r="D37" s="19">
        <f>D26+D27</f>
        <v>-7240239</v>
      </c>
      <c r="E37" s="19">
        <f>E26+E27</f>
        <v>-6527800</v>
      </c>
      <c r="F37" s="19">
        <f>F26+F27</f>
        <v>-7472800</v>
      </c>
      <c r="G37" s="19">
        <f>G26+G27</f>
        <v>-8307800</v>
      </c>
      <c r="H37" s="19">
        <f>H26+H27</f>
        <v>-8632800</v>
      </c>
    </row>
    <row r="38" spans="1:8" s="17" customFormat="1" x14ac:dyDescent="0.25">
      <c r="A38" s="21" t="s">
        <v>133</v>
      </c>
      <c r="B38" s="21" t="s">
        <v>134</v>
      </c>
      <c r="C38" s="19">
        <f>C28</f>
        <v>-910126</v>
      </c>
      <c r="D38" s="19">
        <f>D28</f>
        <v>-905735</v>
      </c>
      <c r="E38" s="19">
        <f>E28</f>
        <v>-1034333</v>
      </c>
      <c r="F38" s="19">
        <f>F28</f>
        <v>-994191.2</v>
      </c>
      <c r="G38" s="19">
        <f>G28</f>
        <v>-1049691.2</v>
      </c>
      <c r="H38" s="19">
        <f>H28</f>
        <v>-1050191.2</v>
      </c>
    </row>
    <row r="39" spans="1:8" s="17" customFormat="1" x14ac:dyDescent="0.25">
      <c r="A39" s="21" t="s">
        <v>136</v>
      </c>
      <c r="B39" s="21" t="s">
        <v>135</v>
      </c>
      <c r="C39" s="19">
        <f>SUM(C30:C33)</f>
        <v>-61300.119999999995</v>
      </c>
      <c r="D39" s="19">
        <f>SUM(D30:D33)</f>
        <v>-83825</v>
      </c>
      <c r="E39" s="19">
        <f>SUM(E30:E33)</f>
        <v>-77867</v>
      </c>
      <c r="F39" s="19">
        <f>SUM(F30:F33)</f>
        <v>-113008.8</v>
      </c>
      <c r="G39" s="19">
        <f>SUM(G30:G33)</f>
        <v>-127008.8</v>
      </c>
      <c r="H39" s="19">
        <f>SUM(H30:H33)</f>
        <v>-127008.8</v>
      </c>
    </row>
    <row r="40" spans="1:8" s="17" customFormat="1" x14ac:dyDescent="0.25">
      <c r="A40" s="21" t="s">
        <v>138</v>
      </c>
      <c r="B40" s="21" t="s">
        <v>120</v>
      </c>
      <c r="C40" s="55"/>
      <c r="D40" s="19"/>
      <c r="E40" s="19"/>
      <c r="F40" s="19"/>
      <c r="G40" s="19"/>
      <c r="H40" s="19"/>
    </row>
    <row r="41" spans="1:8" s="17" customFormat="1" x14ac:dyDescent="0.25">
      <c r="A41" s="21" t="s">
        <v>113</v>
      </c>
      <c r="B41" s="21" t="s">
        <v>137</v>
      </c>
      <c r="C41" s="19">
        <f>SUM(C37:C39)</f>
        <v>-4407584.2600000007</v>
      </c>
      <c r="D41" s="19">
        <f>SUM(D37:D39)</f>
        <v>-8229799</v>
      </c>
      <c r="E41" s="19">
        <f>SUM(E37:E39)</f>
        <v>-7640000</v>
      </c>
      <c r="F41" s="19">
        <f>SUM(F37:F39)</f>
        <v>-8580000</v>
      </c>
      <c r="G41" s="19">
        <f>SUM(G37:G39)</f>
        <v>-9484500</v>
      </c>
      <c r="H41" s="19">
        <f>SUM(H37:H39)</f>
        <v>-9810000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13291.699999999255</v>
      </c>
      <c r="D43" s="9">
        <f>D16+D34</f>
        <v>112708</v>
      </c>
      <c r="E43" s="9">
        <f>E16+E34</f>
        <v>0</v>
      </c>
      <c r="F43" s="9">
        <f>F16+F34</f>
        <v>0</v>
      </c>
      <c r="G43" s="9">
        <f>G16+G34</f>
        <v>0</v>
      </c>
      <c r="H43" s="9">
        <f>H16+H34</f>
        <v>0</v>
      </c>
    </row>
    <row r="44" spans="1:8" x14ac:dyDescent="0.25">
      <c r="A44" s="10" t="s">
        <v>3</v>
      </c>
      <c r="B44" s="10"/>
      <c r="C44" s="11">
        <f>C43/C16</f>
        <v>3.0065760994568268E-3</v>
      </c>
      <c r="D44" s="11">
        <f>D43/D16</f>
        <v>1.3510087555215716E-2</v>
      </c>
      <c r="E44" s="11">
        <f>E43/E16</f>
        <v>0</v>
      </c>
      <c r="F44" s="11">
        <f>F43/F16</f>
        <v>0</v>
      </c>
      <c r="G44" s="11">
        <f>G43/G16</f>
        <v>0</v>
      </c>
      <c r="H44" s="11">
        <f>H43/H16</f>
        <v>0</v>
      </c>
    </row>
    <row r="45" spans="1:8" x14ac:dyDescent="0.25">
      <c r="A45" s="10"/>
      <c r="B45" s="10"/>
      <c r="C45" s="11"/>
      <c r="D45" s="11"/>
      <c r="E45" s="11"/>
      <c r="F45" s="11"/>
      <c r="G45" s="11"/>
      <c r="H45" s="11"/>
    </row>
    <row r="46" spans="1:8" s="17" customFormat="1" x14ac:dyDescent="0.25">
      <c r="A46" s="22" t="s">
        <v>130</v>
      </c>
      <c r="B46" s="22" t="s">
        <v>141</v>
      </c>
      <c r="C46" s="23">
        <f>C21+C41</f>
        <v>13291.699999999255</v>
      </c>
      <c r="D46" s="23">
        <f>D21+D41</f>
        <v>112708</v>
      </c>
      <c r="E46" s="23">
        <f>E21+E41</f>
        <v>0</v>
      </c>
      <c r="F46" s="23">
        <f>F21+F41</f>
        <v>0</v>
      </c>
      <c r="G46" s="23">
        <f>G21+G41</f>
        <v>0</v>
      </c>
      <c r="H46" s="23">
        <f>H21+H41</f>
        <v>0</v>
      </c>
    </row>
    <row r="47" spans="1:8" x14ac:dyDescent="0.25">
      <c r="A47" s="10"/>
      <c r="B47" s="10"/>
      <c r="C47" s="11"/>
      <c r="D47" s="11"/>
      <c r="E47" s="11"/>
      <c r="F47" s="11"/>
      <c r="G47" s="11"/>
      <c r="H47" s="11"/>
    </row>
    <row r="48" spans="1:8" x14ac:dyDescent="0.25">
      <c r="A48" s="5" t="s">
        <v>151</v>
      </c>
      <c r="B48" s="5"/>
      <c r="C48" s="5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6"/>
      <c r="D49" s="7"/>
      <c r="E49" s="7"/>
      <c r="F49" s="7"/>
      <c r="G49" s="7"/>
      <c r="H49" s="7"/>
    </row>
    <row r="50" spans="1:8" x14ac:dyDescent="0.25">
      <c r="A50" s="2" t="s">
        <v>142</v>
      </c>
      <c r="B50" s="5"/>
      <c r="C50" s="6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6"/>
      <c r="D51" s="7"/>
      <c r="E51" s="7"/>
      <c r="F51" s="7"/>
      <c r="G51" s="7"/>
      <c r="H51" s="7"/>
    </row>
    <row r="52" spans="1:8" x14ac:dyDescent="0.25">
      <c r="A52" s="2" t="s">
        <v>5</v>
      </c>
      <c r="B52" s="5"/>
      <c r="C52" s="6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6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6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6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6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6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6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6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2448</v>
      </c>
      <c r="D60" s="7"/>
      <c r="E60" s="7"/>
      <c r="F60" s="7"/>
      <c r="G60" s="7"/>
      <c r="H60" s="7"/>
    </row>
    <row r="61" spans="1:8" x14ac:dyDescent="0.25">
      <c r="A61" s="2" t="s">
        <v>112</v>
      </c>
      <c r="B61" s="5"/>
      <c r="C61" s="5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2448</v>
      </c>
      <c r="D62" s="16">
        <f>SUM(D49:D61)</f>
        <v>0</v>
      </c>
      <c r="E62" s="16">
        <f>SUM(E49:E61)</f>
        <v>0</v>
      </c>
      <c r="F62" s="16">
        <f>SUM(F49:F61)</f>
        <v>0</v>
      </c>
      <c r="G62" s="16">
        <f>SUM(G49:G61)</f>
        <v>0</v>
      </c>
      <c r="H62" s="16">
        <f>SUM(H49:H61)</f>
        <v>0</v>
      </c>
    </row>
    <row r="63" spans="1:8" s="17" customFormat="1" x14ac:dyDescent="0.25">
      <c r="A63" s="20"/>
      <c r="B63" s="20"/>
      <c r="C63" s="20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15739.699999999255</v>
      </c>
      <c r="D64" s="9">
        <f>D43+D62</f>
        <v>112708</v>
      </c>
      <c r="E64" s="9">
        <f>E43+E62</f>
        <v>0</v>
      </c>
      <c r="F64" s="9">
        <f>F43+F62</f>
        <v>0</v>
      </c>
      <c r="G64" s="9">
        <f>G43+G62</f>
        <v>0</v>
      </c>
      <c r="H64" s="9">
        <f>H43+H62</f>
        <v>0</v>
      </c>
    </row>
    <row r="65" spans="1:8" s="17" customFormat="1" x14ac:dyDescent="0.25">
      <c r="A65" s="20"/>
      <c r="B65" s="20"/>
      <c r="C65" s="20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20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25"/>
      <c r="D67" s="25"/>
      <c r="E67" s="25"/>
      <c r="F67" s="25"/>
      <c r="G67" s="25"/>
      <c r="H67" s="25"/>
    </row>
    <row r="68" spans="1:8" s="17" customFormat="1" x14ac:dyDescent="0.25">
      <c r="A68" s="24" t="s">
        <v>60</v>
      </c>
      <c r="B68" s="15" t="s">
        <v>129</v>
      </c>
      <c r="C68" s="25"/>
      <c r="D68" s="25"/>
      <c r="E68" s="25"/>
      <c r="F68" s="25"/>
      <c r="G68" s="25"/>
      <c r="H68" s="25"/>
    </row>
    <row r="69" spans="1:8" ht="60" x14ac:dyDescent="0.25">
      <c r="A69" s="13" t="s">
        <v>61</v>
      </c>
      <c r="B69" s="26" t="s">
        <v>51</v>
      </c>
      <c r="C69" s="6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6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6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6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6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6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6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6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6"/>
      <c r="D78" s="51">
        <v>39209</v>
      </c>
      <c r="E78" s="51">
        <v>39209</v>
      </c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>
        <v>368073</v>
      </c>
      <c r="D79" s="7">
        <v>300000</v>
      </c>
      <c r="E79" s="7">
        <v>250000</v>
      </c>
      <c r="F79" s="7">
        <v>200000</v>
      </c>
      <c r="G79" s="7">
        <v>200000</v>
      </c>
      <c r="H79" s="7">
        <v>200000</v>
      </c>
    </row>
    <row r="80" spans="1:8" x14ac:dyDescent="0.25">
      <c r="A80" s="13" t="s">
        <v>76</v>
      </c>
      <c r="B80" s="13" t="s">
        <v>77</v>
      </c>
      <c r="C80" s="51">
        <v>655599</v>
      </c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1023672</v>
      </c>
      <c r="D82" s="7">
        <f>SUM(D67:D81)</f>
        <v>339209</v>
      </c>
      <c r="E82" s="7">
        <f>SUM(E67:E81)</f>
        <v>289209</v>
      </c>
      <c r="F82" s="7">
        <f>SUM(F67:F81)</f>
        <v>200000</v>
      </c>
      <c r="G82" s="7">
        <f>SUM(G67:G81)</f>
        <v>200000</v>
      </c>
      <c r="H82" s="7">
        <f>SUM(H67:H81)</f>
        <v>200000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v>1053147</v>
      </c>
      <c r="D84" s="19">
        <v>340000</v>
      </c>
      <c r="E84" s="19">
        <v>290000</v>
      </c>
      <c r="F84" s="19">
        <v>240000</v>
      </c>
      <c r="G84" s="19">
        <v>240000</v>
      </c>
      <c r="H84" s="19">
        <v>240000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107">
        <v>-758617.59999999998</v>
      </c>
      <c r="D87" s="106">
        <v>-450000</v>
      </c>
      <c r="E87" s="16">
        <v>-400000</v>
      </c>
      <c r="F87" s="16">
        <v>-350000</v>
      </c>
      <c r="G87" s="16">
        <v>-350000</v>
      </c>
      <c r="H87" s="16">
        <v>-350000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-758617.59999999998</v>
      </c>
      <c r="D95" s="7">
        <f>SUM(D87:D94)</f>
        <v>-450000</v>
      </c>
      <c r="E95" s="7">
        <f>SUM(E87:E94)</f>
        <v>-400000</v>
      </c>
      <c r="F95" s="7">
        <f>SUM(F87:F94)</f>
        <v>-350000</v>
      </c>
      <c r="G95" s="7">
        <f>SUM(G87:G94)</f>
        <v>-350000</v>
      </c>
      <c r="H95" s="7">
        <f>SUM(H87:H94)</f>
        <v>-350000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1296234</v>
      </c>
      <c r="D97" s="19">
        <v>460000</v>
      </c>
      <c r="E97" s="19">
        <v>400000</v>
      </c>
      <c r="F97" s="19">
        <v>350000</v>
      </c>
      <c r="G97" s="19">
        <v>350000</v>
      </c>
      <c r="H97" s="19">
        <v>350000</v>
      </c>
    </row>
    <row r="98" spans="1:8" s="17" customFormat="1" x14ac:dyDescent="0.25">
      <c r="A98" s="21" t="s">
        <v>122</v>
      </c>
      <c r="B98" s="21" t="s">
        <v>127</v>
      </c>
      <c r="C98" s="55">
        <v>176907.44</v>
      </c>
      <c r="D98" s="55">
        <v>176907.44</v>
      </c>
      <c r="E98" s="55">
        <v>176907.44</v>
      </c>
      <c r="F98" s="55">
        <v>176907.44</v>
      </c>
      <c r="G98" s="55">
        <v>176907.44</v>
      </c>
      <c r="H98" s="55">
        <v>176907.44</v>
      </c>
    </row>
    <row r="99" spans="1:8" s="17" customFormat="1" x14ac:dyDescent="0.25">
      <c r="A99" s="21" t="s">
        <v>131</v>
      </c>
      <c r="B99" s="21"/>
      <c r="C99" s="55">
        <v>419994</v>
      </c>
      <c r="D99" s="19">
        <v>321560</v>
      </c>
      <c r="E99" s="19">
        <v>321560</v>
      </c>
      <c r="F99" s="19">
        <v>321560</v>
      </c>
      <c r="G99" s="19">
        <v>321560</v>
      </c>
      <c r="H99" s="19">
        <v>321560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1473141.44</v>
      </c>
      <c r="D100" s="47">
        <f>D97+D98</f>
        <v>636907.43999999994</v>
      </c>
      <c r="E100" s="21">
        <f>E97+E98</f>
        <v>576907.43999999994</v>
      </c>
      <c r="F100" s="21">
        <f>F97+F98</f>
        <v>526907.43999999994</v>
      </c>
      <c r="G100" s="21">
        <f>G97+G98</f>
        <v>526907.43999999994</v>
      </c>
      <c r="H100" s="21">
        <f>H97+H98</f>
        <v>526907.43999999994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265054.40000000002</v>
      </c>
      <c r="D102" s="9">
        <f>D82+D95</f>
        <v>-110791</v>
      </c>
      <c r="E102" s="9">
        <f>E82+E95</f>
        <v>-110791</v>
      </c>
      <c r="F102" s="9">
        <f>F82+F95</f>
        <v>-150000</v>
      </c>
      <c r="G102" s="9">
        <f>G82+G95</f>
        <v>-150000</v>
      </c>
      <c r="H102" s="9">
        <f>H82+H95</f>
        <v>-150000</v>
      </c>
    </row>
    <row r="103" spans="1:8" x14ac:dyDescent="0.25">
      <c r="A103" s="10" t="s">
        <v>3</v>
      </c>
      <c r="B103" s="10"/>
      <c r="C103" s="11">
        <f>C102/C16</f>
        <v>5.9955176846898016E-2</v>
      </c>
      <c r="D103" s="11">
        <f>D102/D16</f>
        <v>-1.3280300513982188E-2</v>
      </c>
      <c r="E103" s="11">
        <f>E102/E16</f>
        <v>-1.4501439790575917E-2</v>
      </c>
      <c r="F103" s="11">
        <f>F102/F16</f>
        <v>-1.7482517482517484E-2</v>
      </c>
      <c r="G103" s="11">
        <f>G102/G16</f>
        <v>-1.5815277558121146E-2</v>
      </c>
      <c r="H103" s="11">
        <f>H102/H16</f>
        <v>-1.5290519877675841E-2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 t="s">
        <v>202</v>
      </c>
    </row>
    <row r="123" spans="1:8" x14ac:dyDescent="0.25">
      <c r="A123" s="12"/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6" t="s">
        <v>204</v>
      </c>
    </row>
    <row r="2" spans="1:8" x14ac:dyDescent="0.25">
      <c r="A2" s="30"/>
      <c r="B2" s="108">
        <v>42499</v>
      </c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5">
        <v>2018</v>
      </c>
      <c r="G4" s="35">
        <v>2019</v>
      </c>
      <c r="H4" s="35">
        <v>2020</v>
      </c>
    </row>
    <row r="5" spans="1:8" x14ac:dyDescent="0.25">
      <c r="A5" s="33"/>
      <c r="B5" s="33"/>
      <c r="C5" s="33"/>
      <c r="D5" s="2"/>
      <c r="E5" s="2"/>
      <c r="F5" s="2"/>
      <c r="G5" s="2"/>
      <c r="H5" s="2"/>
    </row>
    <row r="6" spans="1:8" x14ac:dyDescent="0.25">
      <c r="A6" s="5" t="s">
        <v>49</v>
      </c>
      <c r="B6" s="5"/>
      <c r="C6" s="5"/>
      <c r="D6" s="2"/>
      <c r="E6" s="2"/>
      <c r="F6" s="2"/>
      <c r="G6" s="2"/>
      <c r="H6" s="2"/>
    </row>
    <row r="7" spans="1:8" x14ac:dyDescent="0.25">
      <c r="A7" s="13" t="s">
        <v>13</v>
      </c>
      <c r="B7" s="13" t="s">
        <v>25</v>
      </c>
      <c r="C7" s="51">
        <v>0</v>
      </c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3541</v>
      </c>
      <c r="D8" s="7">
        <v>2995</v>
      </c>
      <c r="E8" s="7">
        <v>3130</v>
      </c>
      <c r="F8" s="7">
        <v>3271</v>
      </c>
      <c r="G8" s="7">
        <v>3418</v>
      </c>
      <c r="H8" s="7">
        <v>3572</v>
      </c>
    </row>
    <row r="9" spans="1:8" x14ac:dyDescent="0.25">
      <c r="A9" s="13" t="s">
        <v>28</v>
      </c>
      <c r="B9" s="13" t="s">
        <v>14</v>
      </c>
      <c r="C9" s="51">
        <v>0</v>
      </c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6562</v>
      </c>
      <c r="D10" s="7">
        <v>5066</v>
      </c>
      <c r="E10" s="7">
        <v>5311</v>
      </c>
      <c r="F10" s="7">
        <v>5495</v>
      </c>
      <c r="G10" s="7">
        <v>5730</v>
      </c>
      <c r="H10" s="7">
        <v>5930</v>
      </c>
    </row>
    <row r="11" spans="1:8" x14ac:dyDescent="0.25">
      <c r="A11" s="13" t="s">
        <v>16</v>
      </c>
      <c r="B11" s="13" t="s">
        <v>30</v>
      </c>
      <c r="C11" s="51">
        <v>6341</v>
      </c>
      <c r="D11" s="7">
        <v>424</v>
      </c>
      <c r="E11" s="7">
        <v>425</v>
      </c>
      <c r="F11" s="7">
        <v>440</v>
      </c>
      <c r="G11" s="7">
        <v>440</v>
      </c>
      <c r="H11" s="7">
        <v>450</v>
      </c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>
        <v>4</v>
      </c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16448</v>
      </c>
      <c r="D16" s="7">
        <f>SUM(D7:D15)</f>
        <v>8485</v>
      </c>
      <c r="E16" s="7">
        <f>SUM(E7:E15)</f>
        <v>8866</v>
      </c>
      <c r="F16" s="7">
        <f>SUM(F7:F15)</f>
        <v>9206</v>
      </c>
      <c r="G16" s="7">
        <f>SUM(G7:G15)</f>
        <v>9588</v>
      </c>
      <c r="H16" s="7">
        <f>SUM(H7:H15)</f>
        <v>9952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f>SUM(C8:C9)</f>
        <v>3541</v>
      </c>
      <c r="D19" s="19"/>
      <c r="E19" s="19"/>
      <c r="F19" s="19"/>
      <c r="G19" s="19"/>
      <c r="H19" s="19"/>
    </row>
    <row r="20" spans="1:8" s="17" customFormat="1" x14ac:dyDescent="0.25">
      <c r="A20" s="18" t="s">
        <v>148</v>
      </c>
      <c r="B20" s="18" t="s">
        <v>117</v>
      </c>
      <c r="C20" s="19">
        <f>SUM(C10:C12)</f>
        <v>12903</v>
      </c>
      <c r="D20" s="19"/>
      <c r="E20" s="19"/>
      <c r="F20" s="19"/>
      <c r="G20" s="19"/>
      <c r="H20" s="19"/>
    </row>
    <row r="21" spans="1:8" s="17" customFormat="1" x14ac:dyDescent="0.25">
      <c r="A21" s="18" t="s">
        <v>114</v>
      </c>
      <c r="B21" s="18" t="s">
        <v>116</v>
      </c>
      <c r="C21" s="19">
        <f>SUM(C19:C20)+C15</f>
        <v>16448</v>
      </c>
      <c r="D21" s="19"/>
      <c r="E21" s="19"/>
      <c r="F21" s="19"/>
      <c r="G21" s="19"/>
      <c r="H21" s="19"/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v>-8592</v>
      </c>
      <c r="D28" s="7">
        <v>-7535</v>
      </c>
      <c r="E28" s="7">
        <v>-7865</v>
      </c>
      <c r="F28" s="7">
        <v>-8209</v>
      </c>
      <c r="G28" s="7">
        <v>-8555</v>
      </c>
      <c r="H28" s="7">
        <v>-8945</v>
      </c>
    </row>
    <row r="29" spans="1:8" x14ac:dyDescent="0.25">
      <c r="A29" s="2" t="s">
        <v>155</v>
      </c>
      <c r="B29" s="2" t="s">
        <v>156</v>
      </c>
      <c r="C29" s="51">
        <v>-3421</v>
      </c>
      <c r="D29" s="7">
        <v>-3433</v>
      </c>
      <c r="E29" s="7">
        <v>-3587</v>
      </c>
      <c r="F29" s="7">
        <v>-3749</v>
      </c>
      <c r="G29" s="7">
        <v>-3918</v>
      </c>
      <c r="H29" s="7">
        <v>-4094</v>
      </c>
    </row>
    <row r="30" spans="1:8" x14ac:dyDescent="0.25">
      <c r="A30" s="13" t="s">
        <v>41</v>
      </c>
      <c r="B30" s="13" t="s">
        <v>42</v>
      </c>
      <c r="C30" s="51"/>
      <c r="D30" s="7"/>
      <c r="E30" s="7"/>
      <c r="F30" s="7"/>
      <c r="G30" s="7"/>
      <c r="H30" s="7"/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/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/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-8592</v>
      </c>
      <c r="D34" s="7">
        <f>SUM(D24:D28)+SUM(D30:D33)</f>
        <v>-7535</v>
      </c>
      <c r="E34" s="7">
        <f>SUM(E24:E28)+SUM(E30:E33)</f>
        <v>-7865</v>
      </c>
      <c r="F34" s="7">
        <f>SUM(F24:F28)+SUM(F30:F33)</f>
        <v>-8209</v>
      </c>
      <c r="G34" s="7">
        <f>SUM(G24:G28)+SUM(G30:G33)</f>
        <v>-8555</v>
      </c>
      <c r="H34" s="7">
        <f>SUM(H24:H28)+SUM(H30:H33)</f>
        <v>-8945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f>SUM(C24:C27)</f>
        <v>0</v>
      </c>
      <c r="D37" s="19"/>
      <c r="E37" s="19"/>
      <c r="F37" s="19"/>
      <c r="G37" s="19"/>
      <c r="H37" s="19"/>
    </row>
    <row r="38" spans="1:8" s="17" customFormat="1" x14ac:dyDescent="0.25">
      <c r="A38" s="21" t="s">
        <v>133</v>
      </c>
      <c r="B38" s="21" t="s">
        <v>134</v>
      </c>
      <c r="C38" s="19">
        <f>C28</f>
        <v>-8592</v>
      </c>
      <c r="D38" s="19">
        <f>D28</f>
        <v>-7535</v>
      </c>
      <c r="E38" s="19">
        <f>E28</f>
        <v>-7865</v>
      </c>
      <c r="F38" s="19">
        <f>F28</f>
        <v>-8209</v>
      </c>
      <c r="G38" s="19">
        <f>G28</f>
        <v>-8555</v>
      </c>
      <c r="H38" s="19">
        <f>H28</f>
        <v>-8945</v>
      </c>
    </row>
    <row r="39" spans="1:8" s="17" customFormat="1" x14ac:dyDescent="0.25">
      <c r="A39" s="21" t="s">
        <v>136</v>
      </c>
      <c r="B39" s="21" t="s">
        <v>135</v>
      </c>
      <c r="C39" s="19">
        <f>SUM(C30:C33)+C40</f>
        <v>-567</v>
      </c>
      <c r="D39" s="19">
        <v>-560</v>
      </c>
      <c r="E39" s="19">
        <v>-580</v>
      </c>
      <c r="F39" s="19">
        <v>-600</v>
      </c>
      <c r="G39" s="19">
        <v>-620</v>
      </c>
      <c r="H39" s="19">
        <v>-620</v>
      </c>
    </row>
    <row r="40" spans="1:8" s="17" customFormat="1" x14ac:dyDescent="0.25">
      <c r="A40" s="21" t="s">
        <v>138</v>
      </c>
      <c r="B40" s="21" t="s">
        <v>120</v>
      </c>
      <c r="C40" s="55">
        <v>-567</v>
      </c>
      <c r="D40" s="19"/>
      <c r="E40" s="19"/>
      <c r="F40" s="19"/>
      <c r="G40" s="19"/>
      <c r="H40" s="19"/>
    </row>
    <row r="41" spans="1:8" s="17" customFormat="1" x14ac:dyDescent="0.25">
      <c r="A41" s="21" t="s">
        <v>113</v>
      </c>
      <c r="B41" s="21" t="s">
        <v>137</v>
      </c>
      <c r="C41" s="19">
        <f>SUM(C37:C39)</f>
        <v>-9159</v>
      </c>
      <c r="D41" s="19">
        <f>SUM(D37:D39)</f>
        <v>-8095</v>
      </c>
      <c r="E41" s="19">
        <f>SUM(E37:E39)</f>
        <v>-8445</v>
      </c>
      <c r="F41" s="19">
        <f>SUM(F37:F39)</f>
        <v>-8809</v>
      </c>
      <c r="G41" s="19">
        <f>SUM(G37:G39)</f>
        <v>-9175</v>
      </c>
      <c r="H41" s="19">
        <f>SUM(H37:H39)</f>
        <v>-9565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7856</v>
      </c>
      <c r="D43" s="9">
        <f>D16+D34</f>
        <v>950</v>
      </c>
      <c r="E43" s="9">
        <f>E16+E34</f>
        <v>1001</v>
      </c>
      <c r="F43" s="9">
        <f>F16+F34</f>
        <v>997</v>
      </c>
      <c r="G43" s="9">
        <f>G16+G34</f>
        <v>1033</v>
      </c>
      <c r="H43" s="9">
        <f>H16+H34</f>
        <v>1007</v>
      </c>
    </row>
    <row r="44" spans="1:8" x14ac:dyDescent="0.25">
      <c r="A44" s="10" t="s">
        <v>3</v>
      </c>
      <c r="B44" s="10"/>
      <c r="C44" s="63">
        <f>C43/C16</f>
        <v>0.4776264591439689</v>
      </c>
      <c r="D44" s="63">
        <f>D43/D16</f>
        <v>0.11196228638774308</v>
      </c>
      <c r="E44" s="63">
        <f>E43/E16</f>
        <v>0.11290322580645161</v>
      </c>
      <c r="F44" s="63">
        <f>F43/F16</f>
        <v>0.10829893547686291</v>
      </c>
      <c r="G44" s="63">
        <f>G43/G16</f>
        <v>0.10773884021693785</v>
      </c>
      <c r="H44" s="63">
        <f>H43/H16</f>
        <v>0.10118569131832797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23">
        <f>C21+C41</f>
        <v>7289</v>
      </c>
      <c r="D46" s="23">
        <f>D21+D41</f>
        <v>-8095</v>
      </c>
      <c r="E46" s="23">
        <f>E21+E41</f>
        <v>-8445</v>
      </c>
      <c r="F46" s="23">
        <f>F21+F41</f>
        <v>-8809</v>
      </c>
      <c r="G46" s="23">
        <f>G21+G41</f>
        <v>-9175</v>
      </c>
      <c r="H46" s="23">
        <f>H21+H41</f>
        <v>-9565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>
        <v>-242</v>
      </c>
      <c r="D48" s="7">
        <v>-256</v>
      </c>
      <c r="E48" s="7">
        <v>-275</v>
      </c>
      <c r="F48" s="7">
        <v>-218</v>
      </c>
      <c r="G48" s="7">
        <v>-658</v>
      </c>
      <c r="H48" s="7">
        <v>-508</v>
      </c>
    </row>
    <row r="49" spans="1:8" x14ac:dyDescent="0.25">
      <c r="A49" s="2" t="s">
        <v>107</v>
      </c>
      <c r="B49" s="5"/>
      <c r="C49" s="51"/>
      <c r="D49" s="7"/>
      <c r="E49" s="7"/>
      <c r="F49" s="7"/>
      <c r="G49" s="7"/>
      <c r="H49" s="7"/>
    </row>
    <row r="50" spans="1:8" x14ac:dyDescent="0.25">
      <c r="A50" s="2" t="s">
        <v>142</v>
      </c>
      <c r="B50" s="5"/>
      <c r="C50" s="51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/>
      <c r="D51" s="7"/>
      <c r="E51" s="7"/>
      <c r="F51" s="7"/>
      <c r="G51" s="7"/>
      <c r="H51" s="7"/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-1103</v>
      </c>
      <c r="D60" s="7">
        <v>-265</v>
      </c>
      <c r="E60" s="7">
        <v>-212</v>
      </c>
      <c r="F60" s="7">
        <v>-87</v>
      </c>
      <c r="G60" s="7">
        <v>-11</v>
      </c>
      <c r="H60" s="7">
        <v>0</v>
      </c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-1103</v>
      </c>
      <c r="D62" s="16">
        <f>SUM(D49:D61)</f>
        <v>-265</v>
      </c>
      <c r="E62" s="16">
        <f>SUM(E49:E61)</f>
        <v>-212</v>
      </c>
      <c r="F62" s="16">
        <f>SUM(F49:F61)</f>
        <v>-87</v>
      </c>
      <c r="G62" s="16">
        <f>SUM(G49:G61)</f>
        <v>-11</v>
      </c>
      <c r="H62" s="16">
        <f>SUM(H49:H61)</f>
        <v>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6753</v>
      </c>
      <c r="D64" s="9">
        <f>D43+D62</f>
        <v>685</v>
      </c>
      <c r="E64" s="9">
        <f>E43+E62</f>
        <v>789</v>
      </c>
      <c r="F64" s="9">
        <f>F43+F62</f>
        <v>910</v>
      </c>
      <c r="G64" s="9">
        <f>G43+G62</f>
        <v>1022</v>
      </c>
      <c r="H64" s="9">
        <f>H43+H62</f>
        <v>1007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>
        <v>374</v>
      </c>
      <c r="D67" s="54">
        <v>374</v>
      </c>
      <c r="E67" s="54">
        <v>374</v>
      </c>
      <c r="F67" s="54">
        <v>374</v>
      </c>
      <c r="G67" s="54">
        <v>374</v>
      </c>
      <c r="H67" s="54">
        <v>53</v>
      </c>
    </row>
    <row r="68" spans="1:8" s="17" customFormat="1" x14ac:dyDescent="0.25">
      <c r="A68" s="24" t="s">
        <v>60</v>
      </c>
      <c r="B68" s="15" t="s">
        <v>129</v>
      </c>
      <c r="C68" s="54">
        <v>1549</v>
      </c>
      <c r="D68" s="54">
        <v>1175</v>
      </c>
      <c r="E68" s="54">
        <v>801</v>
      </c>
      <c r="F68" s="54">
        <v>427</v>
      </c>
      <c r="G68" s="54">
        <v>53</v>
      </c>
      <c r="H68" s="54">
        <v>0</v>
      </c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/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1923</v>
      </c>
      <c r="D82" s="7">
        <f>SUM(D67:D81)</f>
        <v>1549</v>
      </c>
      <c r="E82" s="7">
        <f>SUM(E67:E81)</f>
        <v>1175</v>
      </c>
      <c r="F82" s="7">
        <f>SUM(F67:F81)</f>
        <v>801</v>
      </c>
      <c r="G82" s="7">
        <f>SUM(G67:G81)</f>
        <v>427</v>
      </c>
      <c r="H82" s="7">
        <f>SUM(H67:H81)</f>
        <v>53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v>1420</v>
      </c>
      <c r="D84" s="19">
        <v>1250</v>
      </c>
      <c r="E84" s="19">
        <v>1250</v>
      </c>
      <c r="F84" s="19">
        <v>1250</v>
      </c>
      <c r="G84" s="19">
        <v>1250</v>
      </c>
      <c r="H84" s="19">
        <v>1250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-132</v>
      </c>
      <c r="D87" s="16">
        <v>-100</v>
      </c>
      <c r="E87" s="16">
        <v>-100</v>
      </c>
      <c r="F87" s="16">
        <v>-100</v>
      </c>
      <c r="G87" s="16">
        <v>-100</v>
      </c>
      <c r="H87" s="16">
        <v>-100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-132</v>
      </c>
      <c r="D95" s="7">
        <f>SUM(D87:D94)</f>
        <v>-100</v>
      </c>
      <c r="E95" s="7">
        <f>SUM(E87:E94)</f>
        <v>-100</v>
      </c>
      <c r="F95" s="7">
        <f>SUM(F87:F94)</f>
        <v>-100</v>
      </c>
      <c r="G95" s="7">
        <f>SUM(G87:G94)</f>
        <v>-100</v>
      </c>
      <c r="H95" s="7">
        <f>SUM(H87:H94)</f>
        <v>-100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/>
      <c r="D97" s="19"/>
      <c r="E97" s="19"/>
      <c r="F97" s="19"/>
      <c r="G97" s="19"/>
      <c r="H97" s="19"/>
    </row>
    <row r="98" spans="1:8" s="17" customFormat="1" x14ac:dyDescent="0.25">
      <c r="A98" s="21" t="s">
        <v>122</v>
      </c>
      <c r="B98" s="21" t="s">
        <v>127</v>
      </c>
      <c r="C98" s="55"/>
      <c r="D98" s="19"/>
      <c r="E98" s="19"/>
      <c r="F98" s="19"/>
      <c r="G98" s="19"/>
      <c r="H98" s="19"/>
    </row>
    <row r="99" spans="1:8" s="17" customFormat="1" x14ac:dyDescent="0.25">
      <c r="A99" s="21" t="s">
        <v>131</v>
      </c>
      <c r="B99" s="21"/>
      <c r="C99" s="55"/>
      <c r="D99" s="19"/>
      <c r="E99" s="19"/>
      <c r="F99" s="19"/>
      <c r="G99" s="19"/>
      <c r="H99" s="19"/>
    </row>
    <row r="100" spans="1:8" s="17" customFormat="1" x14ac:dyDescent="0.25">
      <c r="A100" s="21" t="s">
        <v>123</v>
      </c>
      <c r="B100" s="21" t="s">
        <v>128</v>
      </c>
      <c r="C100" s="55">
        <f>C97+C98</f>
        <v>0</v>
      </c>
      <c r="D100" s="55">
        <f>D97+D98</f>
        <v>0</v>
      </c>
      <c r="E100" s="55">
        <f>E97+E98</f>
        <v>0</v>
      </c>
      <c r="F100" s="55">
        <f>F97+F98</f>
        <v>0</v>
      </c>
      <c r="G100" s="55">
        <f>G97+G98</f>
        <v>0</v>
      </c>
      <c r="H100" s="55">
        <f>H97+H98</f>
        <v>0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1791</v>
      </c>
      <c r="D102" s="9">
        <f>D82+D95</f>
        <v>1449</v>
      </c>
      <c r="E102" s="9">
        <f>E82+E95</f>
        <v>1075</v>
      </c>
      <c r="F102" s="9">
        <f>F82+F95</f>
        <v>701</v>
      </c>
      <c r="G102" s="9">
        <f>G82+G95</f>
        <v>327</v>
      </c>
      <c r="H102" s="9">
        <f>H82+H95</f>
        <v>-47</v>
      </c>
    </row>
    <row r="103" spans="1:8" x14ac:dyDescent="0.25">
      <c r="A103" s="10" t="s">
        <v>3</v>
      </c>
      <c r="B103" s="10"/>
      <c r="C103" s="11">
        <f>C102/C16</f>
        <v>0.1088886186770428</v>
      </c>
      <c r="D103" s="11">
        <f>D102/D16</f>
        <v>0.17077195050088392</v>
      </c>
      <c r="E103" s="11">
        <f>E102/E16</f>
        <v>0.12124971802391157</v>
      </c>
      <c r="F103" s="11">
        <f>F102/F16</f>
        <v>7.6145991744514446E-2</v>
      </c>
      <c r="G103" s="11">
        <f>G102/G16</f>
        <v>3.4105131414267832E-2</v>
      </c>
      <c r="H103" s="11">
        <f>H102/H16</f>
        <v>-4.7226688102893887E-3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A122" s="31" t="s">
        <v>158</v>
      </c>
      <c r="B122" s="12"/>
    </row>
    <row r="123" spans="1:8" x14ac:dyDescent="0.25">
      <c r="A123" s="12"/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zoomScaleNormal="100" workbookViewId="0">
      <pane ySplit="4" topLeftCell="A5" activePane="bottomLeft" state="frozen"/>
      <selection pane="bottomLeft"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1" t="s">
        <v>206</v>
      </c>
    </row>
    <row r="2" spans="1:8" x14ac:dyDescent="0.25">
      <c r="A2" s="1"/>
    </row>
    <row r="3" spans="1:8" x14ac:dyDescent="0.25">
      <c r="A3" s="1" t="s">
        <v>140</v>
      </c>
      <c r="B3" s="1"/>
      <c r="C3" s="1"/>
    </row>
    <row r="4" spans="1:8" x14ac:dyDescent="0.25">
      <c r="A4" s="4" t="s">
        <v>157</v>
      </c>
      <c r="B4" s="4" t="s">
        <v>12</v>
      </c>
      <c r="C4" s="33">
        <v>2015</v>
      </c>
      <c r="D4" s="4">
        <v>2016</v>
      </c>
      <c r="E4" s="4">
        <v>2017</v>
      </c>
      <c r="F4" s="4">
        <v>2018</v>
      </c>
      <c r="G4" s="4">
        <v>2019</v>
      </c>
      <c r="H4" s="4">
        <v>2020</v>
      </c>
    </row>
    <row r="5" spans="1:8" x14ac:dyDescent="0.25">
      <c r="A5" s="33"/>
      <c r="B5" s="33"/>
      <c r="C5" s="105"/>
      <c r="D5" s="7"/>
      <c r="E5" s="7"/>
      <c r="F5" s="7"/>
      <c r="G5" s="7"/>
      <c r="H5" s="7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f>347018</f>
        <v>347018</v>
      </c>
      <c r="D8" s="7">
        <f>301950+57500+1000</f>
        <v>360450</v>
      </c>
      <c r="E8" s="7">
        <v>365000</v>
      </c>
      <c r="F8" s="7">
        <v>370000</v>
      </c>
      <c r="G8" s="7">
        <v>375000</v>
      </c>
      <c r="H8" s="7">
        <v>380000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f>2561996</f>
        <v>2561996</v>
      </c>
      <c r="D10" s="51">
        <f>2561996</f>
        <v>2561996</v>
      </c>
      <c r="E10" s="51">
        <f>+D10+D10*8%</f>
        <v>2766955.68</v>
      </c>
      <c r="F10" s="51">
        <f>+E10+E10*13%</f>
        <v>3126659.9184000003</v>
      </c>
      <c r="G10" s="51">
        <f>+F10+F10*10%</f>
        <v>3439325.9102400001</v>
      </c>
      <c r="H10" s="51">
        <f>+G10+G10*6%</f>
        <v>3645685.4648544001</v>
      </c>
    </row>
    <row r="11" spans="1:8" x14ac:dyDescent="0.25">
      <c r="A11" s="13" t="s">
        <v>16</v>
      </c>
      <c r="B11" s="13" t="s">
        <v>30</v>
      </c>
      <c r="C11" s="51">
        <f>12496+1000</f>
        <v>13496</v>
      </c>
      <c r="D11" s="7">
        <v>39000</v>
      </c>
      <c r="E11" s="7">
        <v>20000</v>
      </c>
      <c r="F11" s="7">
        <v>20000</v>
      </c>
      <c r="G11" s="7">
        <v>20000</v>
      </c>
      <c r="H11" s="7">
        <v>20000</v>
      </c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>
        <v>7390</v>
      </c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2929900</v>
      </c>
      <c r="D16" s="7">
        <f>SUM(D7:D15)</f>
        <v>2961446</v>
      </c>
      <c r="E16" s="7">
        <f>SUM(E7:E15)</f>
        <v>3151955.68</v>
      </c>
      <c r="F16" s="7">
        <f>SUM(F7:F15)</f>
        <v>3516659.9184000003</v>
      </c>
      <c r="G16" s="7">
        <f>SUM(G7:G15)</f>
        <v>3834325.9102400001</v>
      </c>
      <c r="H16" s="7">
        <f>SUM(H7:H15)</f>
        <v>4045685.4648544001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f>+C8</f>
        <v>347018</v>
      </c>
      <c r="D19" s="19">
        <f>+D8</f>
        <v>360450</v>
      </c>
      <c r="E19" s="19">
        <f>+E8</f>
        <v>365000</v>
      </c>
      <c r="F19" s="19">
        <f>+F8</f>
        <v>370000</v>
      </c>
      <c r="G19" s="19">
        <f>+G8</f>
        <v>375000</v>
      </c>
      <c r="H19" s="19">
        <f>+H8</f>
        <v>380000</v>
      </c>
    </row>
    <row r="20" spans="1:8" s="17" customFormat="1" x14ac:dyDescent="0.25">
      <c r="A20" s="18" t="s">
        <v>148</v>
      </c>
      <c r="B20" s="18" t="s">
        <v>117</v>
      </c>
      <c r="C20" s="19">
        <f>+C10+C11+C51</f>
        <v>2640347</v>
      </c>
      <c r="D20" s="19">
        <f>+D10+D11+D51</f>
        <v>2655996</v>
      </c>
      <c r="E20" s="19">
        <f>+E10+E11+E51</f>
        <v>2847455.68</v>
      </c>
      <c r="F20" s="19">
        <f>+F10+F11+F51</f>
        <v>3213209.9184000003</v>
      </c>
      <c r="G20" s="19">
        <f>+G10+G11+G51</f>
        <v>3532530.9102400001</v>
      </c>
      <c r="H20" s="19">
        <f>+H10+H11+H51</f>
        <v>3746211.4648544001</v>
      </c>
    </row>
    <row r="21" spans="1:8" s="17" customFormat="1" x14ac:dyDescent="0.25">
      <c r="A21" s="18" t="s">
        <v>114</v>
      </c>
      <c r="B21" s="18" t="s">
        <v>116</v>
      </c>
      <c r="C21" s="19">
        <v>2997156</v>
      </c>
      <c r="D21" s="19">
        <v>2965646</v>
      </c>
      <c r="E21" s="19">
        <f>+E19+E20</f>
        <v>3212455.68</v>
      </c>
      <c r="F21" s="19">
        <f>+F19+F20</f>
        <v>3583209.9184000003</v>
      </c>
      <c r="G21" s="19">
        <f>+G19+G20</f>
        <v>3907530.9102400001</v>
      </c>
      <c r="H21" s="19">
        <f>+H19+H20</f>
        <v>4126211.4648544001</v>
      </c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/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>
        <v>-11748</v>
      </c>
      <c r="D26" s="7">
        <v>-15000</v>
      </c>
      <c r="E26" s="7">
        <v>-15000</v>
      </c>
      <c r="F26" s="7">
        <v>-15000</v>
      </c>
      <c r="G26" s="7">
        <v>-15000</v>
      </c>
      <c r="H26" s="7">
        <v>-15000</v>
      </c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f>-2830551-C26-C30-C33-C40</f>
        <v>-2802265</v>
      </c>
      <c r="D28" s="7">
        <f>-2947839-D26-D30-D33-D40+15800-300-8000-7500</f>
        <v>-2917039</v>
      </c>
      <c r="E28" s="7">
        <f>-675824-3316-72827-22182-1896+E29-8150</f>
        <v>-3142989</v>
      </c>
      <c r="F28" s="7">
        <f>-675824-5546-10500-146747-52212-5000+F29-8558</f>
        <v>-3499060</v>
      </c>
      <c r="G28" s="7">
        <f>-675824-5546-22050-189339-69515-5000+G29-9000</f>
        <v>-3830414</v>
      </c>
      <c r="H28" s="7">
        <f>-675824-5546-34755-236190-88548-5000+H29-9500</f>
        <v>-4038017</v>
      </c>
    </row>
    <row r="29" spans="1:8" x14ac:dyDescent="0.25">
      <c r="A29" s="2" t="s">
        <v>155</v>
      </c>
      <c r="B29" s="2" t="s">
        <v>156</v>
      </c>
      <c r="C29" s="51">
        <v>-2118497</v>
      </c>
      <c r="D29" s="7">
        <v>-2204192</v>
      </c>
      <c r="E29" s="7">
        <f>-2132945-225849</f>
        <v>-2358794</v>
      </c>
      <c r="F29" s="7">
        <f>-2132945-461728</f>
        <v>-2594673</v>
      </c>
      <c r="G29" s="7">
        <f>-2132945-721195</f>
        <v>-2854140</v>
      </c>
      <c r="H29" s="7">
        <f>-2132945-749709-100000</f>
        <v>-2982654</v>
      </c>
    </row>
    <row r="30" spans="1:8" x14ac:dyDescent="0.25">
      <c r="A30" s="13" t="s">
        <v>41</v>
      </c>
      <c r="B30" s="13" t="s">
        <v>42</v>
      </c>
      <c r="C30" s="51">
        <v>-62</v>
      </c>
      <c r="D30" s="7">
        <v>-100</v>
      </c>
      <c r="E30" s="7">
        <v>-100</v>
      </c>
      <c r="F30" s="7">
        <v>-100</v>
      </c>
      <c r="G30" s="7">
        <v>-100</v>
      </c>
      <c r="H30" s="7">
        <v>-100</v>
      </c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/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>
        <v>-158</v>
      </c>
      <c r="D33" s="51">
        <v>-200</v>
      </c>
      <c r="E33" s="51">
        <v>-200</v>
      </c>
      <c r="F33" s="51">
        <v>-200</v>
      </c>
      <c r="G33" s="51">
        <v>-200</v>
      </c>
      <c r="H33" s="51">
        <v>-200</v>
      </c>
    </row>
    <row r="34" spans="1:8" x14ac:dyDescent="0.25">
      <c r="A34" s="5" t="s">
        <v>1</v>
      </c>
      <c r="B34" s="5"/>
      <c r="C34" s="7">
        <f>SUM(C24:C28)+SUM(C30:C33)</f>
        <v>-2814233</v>
      </c>
      <c r="D34" s="7">
        <f>SUM(D24:D28)+SUM(D30:D33)</f>
        <v>-2932339</v>
      </c>
      <c r="E34" s="7">
        <f>SUM(E24:E28)+SUM(E30:E33)</f>
        <v>-3158289</v>
      </c>
      <c r="F34" s="7">
        <f>SUM(F24:F28)+SUM(F30:F33)</f>
        <v>-3514360</v>
      </c>
      <c r="G34" s="7">
        <f>SUM(G24:G28)+SUM(G30:G33)</f>
        <v>-3845714</v>
      </c>
      <c r="H34" s="7">
        <f>SUM(H24:H28)+SUM(H30:H33)</f>
        <v>-4053317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v>-11748</v>
      </c>
      <c r="D37" s="19">
        <f>+D26</f>
        <v>-15000</v>
      </c>
      <c r="E37" s="19">
        <f>+E26</f>
        <v>-15000</v>
      </c>
      <c r="F37" s="19">
        <f>+F26</f>
        <v>-15000</v>
      </c>
      <c r="G37" s="19">
        <f>+G26</f>
        <v>-15000</v>
      </c>
      <c r="H37" s="19">
        <f>+H26</f>
        <v>-15000</v>
      </c>
    </row>
    <row r="38" spans="1:8" s="17" customFormat="1" x14ac:dyDescent="0.25">
      <c r="A38" s="21" t="s">
        <v>133</v>
      </c>
      <c r="B38" s="21" t="s">
        <v>134</v>
      </c>
      <c r="C38" s="19">
        <f>+C28</f>
        <v>-2802265</v>
      </c>
      <c r="D38" s="19">
        <f>+D28</f>
        <v>-2917039</v>
      </c>
      <c r="E38" s="19">
        <f>+E28</f>
        <v>-3142989</v>
      </c>
      <c r="F38" s="19">
        <f>+F28</f>
        <v>-3499060</v>
      </c>
      <c r="G38" s="19">
        <f>+G28</f>
        <v>-3830414</v>
      </c>
      <c r="H38" s="19">
        <f>+H28</f>
        <v>-4038017</v>
      </c>
    </row>
    <row r="39" spans="1:8" s="17" customFormat="1" x14ac:dyDescent="0.25">
      <c r="A39" s="21" t="s">
        <v>136</v>
      </c>
      <c r="B39" s="21" t="s">
        <v>135</v>
      </c>
      <c r="C39" s="19">
        <f>+C30+C33+C40+C60</f>
        <v>-14529</v>
      </c>
      <c r="D39" s="19">
        <f>+D30+D33+D40+D60</f>
        <v>-15000</v>
      </c>
      <c r="E39" s="19">
        <f>+E30+E33+E40+E60</f>
        <v>-18500</v>
      </c>
      <c r="F39" s="19">
        <f>+F30+F33+F40+F60</f>
        <v>-16500</v>
      </c>
      <c r="G39" s="19">
        <f>+G30+G33+G40+G60</f>
        <v>-17500</v>
      </c>
      <c r="H39" s="19">
        <f>+H30+H33+H40+H60</f>
        <v>-17500</v>
      </c>
    </row>
    <row r="40" spans="1:8" s="17" customFormat="1" x14ac:dyDescent="0.25">
      <c r="A40" s="21" t="s">
        <v>138</v>
      </c>
      <c r="B40" s="21" t="s">
        <v>120</v>
      </c>
      <c r="C40" s="55">
        <v>-16318</v>
      </c>
      <c r="D40" s="19">
        <v>-15500</v>
      </c>
      <c r="E40" s="19">
        <v>-19000</v>
      </c>
      <c r="F40" s="19">
        <v>-17000</v>
      </c>
      <c r="G40" s="19">
        <v>-18000</v>
      </c>
      <c r="H40" s="19">
        <v>-18000</v>
      </c>
    </row>
    <row r="41" spans="1:8" s="17" customFormat="1" x14ac:dyDescent="0.25">
      <c r="A41" s="21" t="s">
        <v>113</v>
      </c>
      <c r="B41" s="21" t="s">
        <v>137</v>
      </c>
      <c r="C41" s="19">
        <f>SUM(C37:C39)</f>
        <v>-2828542</v>
      </c>
      <c r="D41" s="19">
        <f>SUM(D37:D39)</f>
        <v>-2947039</v>
      </c>
      <c r="E41" s="19">
        <f>SUM(E37:E39)</f>
        <v>-3176489</v>
      </c>
      <c r="F41" s="19">
        <f>SUM(F37:F39)</f>
        <v>-3530560</v>
      </c>
      <c r="G41" s="19">
        <f>SUM(G37:G39)</f>
        <v>-3862914</v>
      </c>
      <c r="H41" s="19">
        <f>SUM(H37:H39)</f>
        <v>-4070517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115667</v>
      </c>
      <c r="D43" s="9">
        <f>D16+D34</f>
        <v>29107</v>
      </c>
      <c r="E43" s="9">
        <f>E16+E34</f>
        <v>-6333.3199999998324</v>
      </c>
      <c r="F43" s="9">
        <f>F16+F34</f>
        <v>2299.9184000003152</v>
      </c>
      <c r="G43" s="9">
        <f>G16+G34</f>
        <v>-11388.089759999886</v>
      </c>
      <c r="H43" s="9">
        <f>H16+H34</f>
        <v>-7631.5351455998607</v>
      </c>
    </row>
    <row r="44" spans="1:8" x14ac:dyDescent="0.25">
      <c r="A44" s="10" t="s">
        <v>3</v>
      </c>
      <c r="B44" s="10"/>
      <c r="C44" s="112">
        <f>C43/C16</f>
        <v>3.9478139185637737E-2</v>
      </c>
      <c r="D44" s="112">
        <f>D43/D16</f>
        <v>9.8286445202782693E-3</v>
      </c>
      <c r="E44" s="112">
        <f>E43/E16</f>
        <v>-2.0093302834765215E-3</v>
      </c>
      <c r="F44" s="112">
        <f>F43/F16</f>
        <v>6.5400648722573247E-4</v>
      </c>
      <c r="G44" s="112">
        <f>G43/G16</f>
        <v>-2.9700369834464793E-3</v>
      </c>
      <c r="H44" s="112">
        <f>H43/H16</f>
        <v>-1.8863392154176057E-3</v>
      </c>
    </row>
    <row r="45" spans="1:8" x14ac:dyDescent="0.25">
      <c r="A45" s="10"/>
      <c r="B45" s="10"/>
      <c r="C45" s="111"/>
      <c r="D45" s="111"/>
      <c r="E45" s="111"/>
      <c r="F45" s="111"/>
      <c r="G45" s="111"/>
      <c r="H45" s="111"/>
    </row>
    <row r="46" spans="1:8" s="17" customFormat="1" x14ac:dyDescent="0.25">
      <c r="A46" s="22" t="s">
        <v>130</v>
      </c>
      <c r="B46" s="22" t="s">
        <v>141</v>
      </c>
      <c r="C46" s="23">
        <f>C21+C41</f>
        <v>168614</v>
      </c>
      <c r="D46" s="23">
        <f>D21+D41</f>
        <v>18607</v>
      </c>
      <c r="E46" s="23">
        <f>E21+E41</f>
        <v>35966.680000000168</v>
      </c>
      <c r="F46" s="23">
        <f>F21+F41</f>
        <v>52649.918400000315</v>
      </c>
      <c r="G46" s="23">
        <f>G21+G41</f>
        <v>44616.910240000114</v>
      </c>
      <c r="H46" s="23">
        <f>H21+H41</f>
        <v>55694.464854400139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>
        <v>-64855</v>
      </c>
      <c r="D49" s="7">
        <v>-55000</v>
      </c>
      <c r="E49" s="7">
        <f>-55000-5500</f>
        <v>-60500</v>
      </c>
      <c r="F49" s="7">
        <f>-55000-11550</f>
        <v>-66550</v>
      </c>
      <c r="G49" s="7">
        <f>-55000-18205</f>
        <v>-73205</v>
      </c>
      <c r="H49" s="7">
        <f>-55000-25526</f>
        <v>-80526</v>
      </c>
    </row>
    <row r="50" spans="1:8" x14ac:dyDescent="0.25">
      <c r="A50" s="2" t="s">
        <v>142</v>
      </c>
      <c r="B50" s="5"/>
      <c r="C50" s="51">
        <f>1899+2400</f>
        <v>4299</v>
      </c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>
        <v>64855</v>
      </c>
      <c r="D51" s="7">
        <f>-D49</f>
        <v>55000</v>
      </c>
      <c r="E51" s="7">
        <f>-E49</f>
        <v>60500</v>
      </c>
      <c r="F51" s="7">
        <f>-F49</f>
        <v>66550</v>
      </c>
      <c r="G51" s="7">
        <f>-G49</f>
        <v>73205</v>
      </c>
      <c r="H51" s="7">
        <f>-H49</f>
        <v>80526</v>
      </c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>
        <v>2009</v>
      </c>
      <c r="D60" s="7">
        <v>800</v>
      </c>
      <c r="E60" s="7">
        <v>800</v>
      </c>
      <c r="F60" s="7">
        <v>800</v>
      </c>
      <c r="G60" s="7">
        <v>800</v>
      </c>
      <c r="H60" s="7">
        <v>800</v>
      </c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6308</v>
      </c>
      <c r="D62" s="16">
        <f>SUM(D49:D61)</f>
        <v>800</v>
      </c>
      <c r="E62" s="16">
        <f>SUM(E49:E61)</f>
        <v>800</v>
      </c>
      <c r="F62" s="16">
        <f>SUM(F49:F61)</f>
        <v>800</v>
      </c>
      <c r="G62" s="16">
        <f>SUM(G49:G61)</f>
        <v>800</v>
      </c>
      <c r="H62" s="16">
        <f>SUM(H49:H61)</f>
        <v>800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121975</v>
      </c>
      <c r="D64" s="9">
        <f>D43+D62</f>
        <v>29907</v>
      </c>
      <c r="E64" s="9">
        <f>E43+E62</f>
        <v>-5533.3199999998324</v>
      </c>
      <c r="F64" s="9">
        <f>F43+F62</f>
        <v>3099.9184000003152</v>
      </c>
      <c r="G64" s="9">
        <f>G43+G62</f>
        <v>-10588.089759999886</v>
      </c>
      <c r="H64" s="9">
        <f>H43+H62</f>
        <v>-6831.5351455998607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/>
      <c r="D67" s="54"/>
      <c r="E67" s="54"/>
      <c r="F67" s="54"/>
      <c r="G67" s="54"/>
      <c r="H67" s="54"/>
    </row>
    <row r="68" spans="1:8" s="17" customFormat="1" x14ac:dyDescent="0.25">
      <c r="A68" s="24" t="s">
        <v>60</v>
      </c>
      <c r="B68" s="15" t="s">
        <v>129</v>
      </c>
      <c r="C68" s="54"/>
      <c r="D68" s="54"/>
      <c r="E68" s="54"/>
      <c r="F68" s="54"/>
      <c r="G68" s="54"/>
      <c r="H68" s="54"/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>
        <v>30911</v>
      </c>
      <c r="D72" s="7">
        <v>30000</v>
      </c>
      <c r="E72" s="7">
        <v>30000</v>
      </c>
      <c r="F72" s="7">
        <v>30000</v>
      </c>
      <c r="G72" s="7">
        <v>30000</v>
      </c>
      <c r="H72" s="7">
        <v>30000</v>
      </c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>
        <v>69145</v>
      </c>
      <c r="D80" s="7">
        <v>60000</v>
      </c>
      <c r="E80" s="7">
        <v>60000</v>
      </c>
      <c r="F80" s="7">
        <v>60000</v>
      </c>
      <c r="G80" s="7">
        <v>60000</v>
      </c>
      <c r="H80" s="7">
        <v>60000</v>
      </c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100056</v>
      </c>
      <c r="D82" s="7">
        <f>SUM(D67:D81)</f>
        <v>90000</v>
      </c>
      <c r="E82" s="7">
        <f>SUM(E67:E81)</f>
        <v>90000</v>
      </c>
      <c r="F82" s="7">
        <f>SUM(F67:F81)</f>
        <v>90000</v>
      </c>
      <c r="G82" s="7">
        <f>SUM(G67:G81)</f>
        <v>90000</v>
      </c>
      <c r="H82" s="7">
        <f>SUM(H67:H81)</f>
        <v>90000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f>269598-1629</f>
        <v>267969</v>
      </c>
      <c r="D84" s="19">
        <v>250000</v>
      </c>
      <c r="E84" s="19">
        <v>250000</v>
      </c>
      <c r="F84" s="19">
        <v>250000</v>
      </c>
      <c r="G84" s="19">
        <v>250000</v>
      </c>
      <c r="H84" s="19">
        <v>250000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-346727</v>
      </c>
      <c r="D87" s="16">
        <v>-250000</v>
      </c>
      <c r="E87" s="16">
        <v>-250000</v>
      </c>
      <c r="F87" s="16">
        <v>-250000</v>
      </c>
      <c r="G87" s="16">
        <v>-250000</v>
      </c>
      <c r="H87" s="16">
        <v>-250000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-346727</v>
      </c>
      <c r="D95" s="7">
        <f>SUM(D87:D94)</f>
        <v>-250000</v>
      </c>
      <c r="E95" s="7">
        <f>SUM(E87:E94)</f>
        <v>-250000</v>
      </c>
      <c r="F95" s="7">
        <f>SUM(F87:F94)</f>
        <v>-250000</v>
      </c>
      <c r="G95" s="7">
        <f>SUM(G87:G94)</f>
        <v>-250000</v>
      </c>
      <c r="H95" s="7">
        <f>SUM(H87:H94)</f>
        <v>-250000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f>411432-1629</f>
        <v>409803</v>
      </c>
      <c r="D97" s="19">
        <f>+D87+50000</f>
        <v>-200000</v>
      </c>
      <c r="E97" s="19">
        <f>+E87+50000</f>
        <v>-200000</v>
      </c>
      <c r="F97" s="19">
        <f>+F87+50000</f>
        <v>-200000</v>
      </c>
      <c r="G97" s="19">
        <f>+G87+50000</f>
        <v>-200000</v>
      </c>
      <c r="H97" s="19">
        <f>+H87+50000</f>
        <v>-200000</v>
      </c>
    </row>
    <row r="98" spans="1:8" s="109" customFormat="1" x14ac:dyDescent="0.25">
      <c r="A98" s="110" t="s">
        <v>122</v>
      </c>
      <c r="B98" s="110" t="s">
        <v>127</v>
      </c>
      <c r="C98" s="56">
        <v>308185</v>
      </c>
      <c r="D98" s="45">
        <f>+C98+D51+D40</f>
        <v>347685</v>
      </c>
      <c r="E98" s="45">
        <f>+D98+E51+E40</f>
        <v>389185</v>
      </c>
      <c r="F98" s="45">
        <f>+E98+F51+F40</f>
        <v>438735</v>
      </c>
      <c r="G98" s="45">
        <f>+F98+G51+G40</f>
        <v>493940</v>
      </c>
      <c r="H98" s="45">
        <f>+G98+H51+H40</f>
        <v>556466</v>
      </c>
    </row>
    <row r="99" spans="1:8" s="17" customFormat="1" x14ac:dyDescent="0.25">
      <c r="A99" s="21" t="s">
        <v>131</v>
      </c>
      <c r="B99" s="21"/>
      <c r="C99" s="55">
        <v>450019</v>
      </c>
      <c r="D99" s="19">
        <f>+C99+D46</f>
        <v>468626</v>
      </c>
      <c r="E99" s="19">
        <f>+D99+E46</f>
        <v>504592.68000000017</v>
      </c>
      <c r="F99" s="19">
        <f>+E99+F46</f>
        <v>557242.59840000048</v>
      </c>
      <c r="G99" s="19">
        <f>+F99+G46</f>
        <v>601859.5086400006</v>
      </c>
      <c r="H99" s="19">
        <f>+G99+H46</f>
        <v>657553.97349440074</v>
      </c>
    </row>
    <row r="100" spans="1:8" s="17" customFormat="1" x14ac:dyDescent="0.25">
      <c r="A100" s="21" t="s">
        <v>123</v>
      </c>
      <c r="B100" s="21" t="s">
        <v>128</v>
      </c>
      <c r="C100" s="55">
        <f>C97+C98</f>
        <v>717988</v>
      </c>
      <c r="D100" s="55">
        <f>D97+D98</f>
        <v>147685</v>
      </c>
      <c r="E100" s="55">
        <f>E97+E98</f>
        <v>189185</v>
      </c>
      <c r="F100" s="55">
        <f>F97+F98</f>
        <v>238735</v>
      </c>
      <c r="G100" s="55">
        <f>G97+G98</f>
        <v>293940</v>
      </c>
      <c r="H100" s="55">
        <f>H97+H98</f>
        <v>356466</v>
      </c>
    </row>
    <row r="101" spans="1:8" x14ac:dyDescent="0.25">
      <c r="A101" s="5"/>
      <c r="B101" s="5"/>
      <c r="C101" s="51"/>
      <c r="D101" s="7"/>
      <c r="E101" s="7"/>
      <c r="F101" s="7"/>
      <c r="G101" s="7"/>
      <c r="H101" s="7"/>
    </row>
    <row r="102" spans="1:8" x14ac:dyDescent="0.25">
      <c r="A102" s="8" t="s">
        <v>11</v>
      </c>
      <c r="B102" s="8"/>
      <c r="C102" s="9">
        <f>C82+C95</f>
        <v>-246671</v>
      </c>
      <c r="D102" s="9">
        <f>D82+D95</f>
        <v>-160000</v>
      </c>
      <c r="E102" s="9">
        <f>E82+E95</f>
        <v>-160000</v>
      </c>
      <c r="F102" s="9">
        <f>F82+F95</f>
        <v>-160000</v>
      </c>
      <c r="G102" s="9">
        <f>G82+G95</f>
        <v>-160000</v>
      </c>
      <c r="H102" s="9">
        <f>H82+H95</f>
        <v>-160000</v>
      </c>
    </row>
    <row r="103" spans="1:8" x14ac:dyDescent="0.25">
      <c r="A103" s="10" t="s">
        <v>3</v>
      </c>
      <c r="B103" s="10"/>
      <c r="C103" s="11">
        <f>C102/C16</f>
        <v>-8.4190928018021097E-2</v>
      </c>
      <c r="D103" s="11">
        <f>D102/D16</f>
        <v>-5.4027660811644042E-2</v>
      </c>
      <c r="E103" s="11">
        <f>E102/E16</f>
        <v>-5.0762135081797846E-2</v>
      </c>
      <c r="F103" s="11">
        <f>F102/F16</f>
        <v>-4.5497717639070526E-2</v>
      </c>
      <c r="G103" s="11">
        <f>G102/G16</f>
        <v>-4.1728325589825824E-2</v>
      </c>
      <c r="H103" s="11">
        <f>H102/H16</f>
        <v>-3.9548304333084934E-2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ht="30" x14ac:dyDescent="0.25">
      <c r="A123" s="31" t="s">
        <v>205</v>
      </c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pane ySplit="4" topLeftCell="A5" activePane="bottomLeft" state="frozen"/>
      <selection pane="bottomLeft" activeCell="B1" sqref="B1"/>
    </sheetView>
  </sheetViews>
  <sheetFormatPr defaultRowHeight="15" x14ac:dyDescent="0.25"/>
  <cols>
    <col min="1" max="1" width="43.85546875" style="32" customWidth="1"/>
    <col min="2" max="2" width="31.42578125" style="32" customWidth="1"/>
    <col min="3" max="8" width="17.140625" style="32" customWidth="1"/>
    <col min="9" max="16384" width="9.140625" style="32"/>
  </cols>
  <sheetData>
    <row r="1" spans="1:8" ht="30" x14ac:dyDescent="0.25">
      <c r="A1" s="34" t="s">
        <v>159</v>
      </c>
      <c r="B1" s="31" t="s">
        <v>230</v>
      </c>
    </row>
    <row r="2" spans="1:8" x14ac:dyDescent="0.25">
      <c r="A2" s="1"/>
    </row>
    <row r="3" spans="1:8" x14ac:dyDescent="0.25">
      <c r="A3" s="1" t="s">
        <v>140</v>
      </c>
      <c r="B3" s="1"/>
      <c r="C3" s="1"/>
      <c r="D3" s="114"/>
      <c r="E3" s="114"/>
      <c r="F3" s="1"/>
      <c r="G3" s="1"/>
      <c r="H3" s="1"/>
    </row>
    <row r="4" spans="1:8" x14ac:dyDescent="0.25">
      <c r="A4" s="4" t="s">
        <v>157</v>
      </c>
      <c r="B4" s="4" t="s">
        <v>12</v>
      </c>
      <c r="C4" s="33">
        <v>2015</v>
      </c>
      <c r="D4" s="35">
        <v>2016</v>
      </c>
      <c r="E4" s="35">
        <v>2017</v>
      </c>
      <c r="F4" s="33">
        <v>2018</v>
      </c>
      <c r="G4" s="33">
        <v>2019</v>
      </c>
      <c r="H4" s="33">
        <v>2020</v>
      </c>
    </row>
    <row r="5" spans="1:8" x14ac:dyDescent="0.25">
      <c r="A5" s="33"/>
      <c r="B5" s="33"/>
      <c r="C5" s="105"/>
      <c r="D5" s="7"/>
      <c r="E5" s="7"/>
      <c r="F5" s="7"/>
      <c r="G5" s="7"/>
      <c r="H5" s="7"/>
    </row>
    <row r="6" spans="1:8" x14ac:dyDescent="0.25">
      <c r="A6" s="5" t="s">
        <v>49</v>
      </c>
      <c r="B6" s="5"/>
      <c r="C6" s="51"/>
      <c r="D6" s="7"/>
      <c r="E6" s="7"/>
      <c r="F6" s="7"/>
      <c r="G6" s="7"/>
      <c r="H6" s="7"/>
    </row>
    <row r="7" spans="1:8" x14ac:dyDescent="0.25">
      <c r="A7" s="13" t="s">
        <v>13</v>
      </c>
      <c r="B7" s="13" t="s">
        <v>25</v>
      </c>
      <c r="C7" s="51"/>
      <c r="D7" s="7"/>
      <c r="E7" s="7"/>
      <c r="F7" s="7"/>
      <c r="G7" s="7"/>
      <c r="H7" s="7"/>
    </row>
    <row r="8" spans="1:8" x14ac:dyDescent="0.25">
      <c r="A8" s="13" t="s">
        <v>26</v>
      </c>
      <c r="B8" s="13" t="s">
        <v>27</v>
      </c>
      <c r="C8" s="51">
        <v>151741.24</v>
      </c>
      <c r="D8" s="7">
        <v>145000</v>
      </c>
      <c r="E8" s="7">
        <v>150000</v>
      </c>
      <c r="F8" s="7">
        <v>150000</v>
      </c>
      <c r="G8" s="7">
        <v>150000</v>
      </c>
      <c r="H8" s="7">
        <v>150000</v>
      </c>
    </row>
    <row r="9" spans="1:8" x14ac:dyDescent="0.25">
      <c r="A9" s="13" t="s">
        <v>28</v>
      </c>
      <c r="B9" s="13" t="s">
        <v>14</v>
      </c>
      <c r="C9" s="51"/>
      <c r="D9" s="7"/>
      <c r="E9" s="7"/>
      <c r="F9" s="7"/>
      <c r="G9" s="7"/>
      <c r="H9" s="7"/>
    </row>
    <row r="10" spans="1:8" x14ac:dyDescent="0.25">
      <c r="A10" s="13" t="s">
        <v>15</v>
      </c>
      <c r="B10" s="13" t="s">
        <v>29</v>
      </c>
      <c r="C10" s="51">
        <v>946764.61</v>
      </c>
      <c r="D10" s="7">
        <v>787283</v>
      </c>
      <c r="E10" s="7">
        <v>787283</v>
      </c>
      <c r="F10" s="7">
        <v>787283</v>
      </c>
      <c r="G10" s="7">
        <v>787283</v>
      </c>
      <c r="H10" s="7">
        <v>787283</v>
      </c>
    </row>
    <row r="11" spans="1:8" x14ac:dyDescent="0.25">
      <c r="A11" s="13" t="s">
        <v>16</v>
      </c>
      <c r="B11" s="13" t="s">
        <v>30</v>
      </c>
      <c r="C11" s="51"/>
      <c r="D11" s="7"/>
      <c r="E11" s="7"/>
      <c r="F11" s="7"/>
      <c r="G11" s="7"/>
      <c r="H11" s="7"/>
    </row>
    <row r="12" spans="1:8" x14ac:dyDescent="0.25">
      <c r="A12" s="13" t="s">
        <v>31</v>
      </c>
      <c r="B12" s="13" t="s">
        <v>32</v>
      </c>
      <c r="C12" s="51"/>
      <c r="D12" s="7"/>
      <c r="E12" s="7"/>
      <c r="F12" s="7"/>
      <c r="G12" s="7"/>
      <c r="H12" s="7"/>
    </row>
    <row r="13" spans="1:8" x14ac:dyDescent="0.25">
      <c r="A13" s="13" t="s">
        <v>17</v>
      </c>
      <c r="B13" s="13" t="s">
        <v>33</v>
      </c>
      <c r="C13" s="51"/>
      <c r="D13" s="7"/>
      <c r="E13" s="7"/>
      <c r="F13" s="7"/>
      <c r="G13" s="7"/>
      <c r="H13" s="7"/>
    </row>
    <row r="14" spans="1:8" x14ac:dyDescent="0.25">
      <c r="A14" s="13" t="s">
        <v>18</v>
      </c>
      <c r="B14" s="13" t="s">
        <v>34</v>
      </c>
      <c r="C14" s="51"/>
      <c r="D14" s="7"/>
      <c r="E14" s="7"/>
      <c r="F14" s="7"/>
      <c r="G14" s="7"/>
      <c r="H14" s="7"/>
    </row>
    <row r="15" spans="1:8" x14ac:dyDescent="0.25">
      <c r="A15" s="13" t="s">
        <v>35</v>
      </c>
      <c r="B15" s="13" t="s">
        <v>36</v>
      </c>
      <c r="C15" s="51"/>
      <c r="D15" s="7"/>
      <c r="E15" s="7"/>
      <c r="F15" s="7"/>
      <c r="G15" s="7"/>
      <c r="H15" s="7"/>
    </row>
    <row r="16" spans="1:8" x14ac:dyDescent="0.25">
      <c r="A16" s="5" t="s">
        <v>0</v>
      </c>
      <c r="B16" s="5"/>
      <c r="C16" s="7">
        <f>SUM(C7:C15)</f>
        <v>1098505.8500000001</v>
      </c>
      <c r="D16" s="7">
        <f>SUM(D7:D15)</f>
        <v>932283</v>
      </c>
      <c r="E16" s="7">
        <f>SUM(E7:E15)</f>
        <v>937283</v>
      </c>
      <c r="F16" s="7">
        <f>SUM(F7:F15)</f>
        <v>937283</v>
      </c>
      <c r="G16" s="7">
        <f>SUM(G7:G15)</f>
        <v>937283</v>
      </c>
      <c r="H16" s="7">
        <f>SUM(H7:H15)</f>
        <v>937283</v>
      </c>
    </row>
    <row r="17" spans="1:8" x14ac:dyDescent="0.25">
      <c r="A17" s="13"/>
      <c r="B17" s="13"/>
      <c r="C17" s="7"/>
      <c r="D17" s="7"/>
      <c r="E17" s="7"/>
      <c r="F17" s="7"/>
      <c r="G17" s="7"/>
      <c r="H17" s="7"/>
    </row>
    <row r="18" spans="1:8" s="17" customFormat="1" x14ac:dyDescent="0.25">
      <c r="A18" s="18" t="s">
        <v>132</v>
      </c>
      <c r="B18" s="18"/>
      <c r="C18" s="19"/>
      <c r="D18" s="19"/>
      <c r="E18" s="19"/>
      <c r="F18" s="19"/>
      <c r="G18" s="19"/>
      <c r="H18" s="19"/>
    </row>
    <row r="19" spans="1:8" s="17" customFormat="1" x14ac:dyDescent="0.25">
      <c r="A19" s="18" t="s">
        <v>147</v>
      </c>
      <c r="B19" s="18" t="s">
        <v>115</v>
      </c>
      <c r="C19" s="19">
        <v>151741.24</v>
      </c>
      <c r="D19" s="19">
        <v>145000</v>
      </c>
      <c r="E19" s="19">
        <v>150000</v>
      </c>
      <c r="F19" s="19">
        <v>150000</v>
      </c>
      <c r="G19" s="19">
        <v>150000</v>
      </c>
      <c r="H19" s="19">
        <v>150000</v>
      </c>
    </row>
    <row r="20" spans="1:8" s="17" customFormat="1" x14ac:dyDescent="0.25">
      <c r="A20" s="18" t="s">
        <v>148</v>
      </c>
      <c r="B20" s="18" t="s">
        <v>117</v>
      </c>
      <c r="C20" s="19">
        <v>946764.61</v>
      </c>
      <c r="D20" s="19">
        <v>787283</v>
      </c>
      <c r="E20" s="19">
        <v>787283</v>
      </c>
      <c r="F20" s="19">
        <v>787283</v>
      </c>
      <c r="G20" s="19">
        <v>787283</v>
      </c>
      <c r="H20" s="19">
        <v>787283</v>
      </c>
    </row>
    <row r="21" spans="1:8" s="17" customFormat="1" x14ac:dyDescent="0.25">
      <c r="A21" s="18" t="s">
        <v>114</v>
      </c>
      <c r="B21" s="18" t="s">
        <v>116</v>
      </c>
      <c r="C21" s="19"/>
      <c r="D21" s="19"/>
      <c r="E21" s="19"/>
      <c r="F21" s="19"/>
      <c r="G21" s="19"/>
      <c r="H21" s="19"/>
    </row>
    <row r="22" spans="1:8" x14ac:dyDescent="0.25">
      <c r="A22" s="13"/>
      <c r="B22" s="13"/>
      <c r="C22" s="51"/>
      <c r="D22" s="7"/>
      <c r="E22" s="7"/>
      <c r="F22" s="7"/>
      <c r="G22" s="7"/>
      <c r="H22" s="7"/>
    </row>
    <row r="23" spans="1:8" x14ac:dyDescent="0.25">
      <c r="A23" s="2" t="s">
        <v>149</v>
      </c>
      <c r="B23" s="13"/>
      <c r="C23" s="51"/>
      <c r="D23" s="7"/>
      <c r="E23" s="7"/>
      <c r="F23" s="7"/>
      <c r="G23" s="7"/>
      <c r="H23" s="7"/>
    </row>
    <row r="24" spans="1:8" x14ac:dyDescent="0.25">
      <c r="A24" s="13" t="s">
        <v>19</v>
      </c>
      <c r="B24" s="13" t="s">
        <v>37</v>
      </c>
      <c r="C24" s="51"/>
      <c r="D24" s="7"/>
      <c r="E24" s="7"/>
      <c r="F24" s="7"/>
      <c r="G24" s="7"/>
      <c r="H24" s="7"/>
    </row>
    <row r="25" spans="1:8" x14ac:dyDescent="0.25">
      <c r="A25" s="13" t="s">
        <v>23</v>
      </c>
      <c r="B25" s="13" t="s">
        <v>24</v>
      </c>
      <c r="C25" s="51">
        <v>-1875</v>
      </c>
      <c r="D25" s="7"/>
      <c r="E25" s="7"/>
      <c r="F25" s="7"/>
      <c r="G25" s="7"/>
      <c r="H25" s="7"/>
    </row>
    <row r="26" spans="1:8" x14ac:dyDescent="0.25">
      <c r="A26" s="13" t="s">
        <v>20</v>
      </c>
      <c r="B26" s="13" t="s">
        <v>38</v>
      </c>
      <c r="C26" s="51"/>
      <c r="D26" s="7"/>
      <c r="E26" s="7"/>
      <c r="F26" s="7"/>
      <c r="G26" s="7"/>
      <c r="H26" s="7"/>
    </row>
    <row r="27" spans="1:8" x14ac:dyDescent="0.25">
      <c r="A27" s="13" t="s">
        <v>21</v>
      </c>
      <c r="B27" s="13" t="s">
        <v>39</v>
      </c>
      <c r="C27" s="51"/>
      <c r="D27" s="7"/>
      <c r="E27" s="7"/>
      <c r="F27" s="7"/>
      <c r="G27" s="7"/>
      <c r="H27" s="7"/>
    </row>
    <row r="28" spans="1:8" x14ac:dyDescent="0.25">
      <c r="A28" s="13" t="s">
        <v>22</v>
      </c>
      <c r="B28" s="13" t="s">
        <v>40</v>
      </c>
      <c r="C28" s="51">
        <v>-818064.6</v>
      </c>
      <c r="D28" s="7">
        <f>-810389.91+4200</f>
        <v>-806189.91</v>
      </c>
      <c r="E28" s="7">
        <v>-809000</v>
      </c>
      <c r="F28" s="7">
        <v>-817000</v>
      </c>
      <c r="G28" s="7">
        <v>-825000</v>
      </c>
      <c r="H28" s="7">
        <v>-825000</v>
      </c>
    </row>
    <row r="29" spans="1:8" x14ac:dyDescent="0.25">
      <c r="A29" s="2" t="s">
        <v>155</v>
      </c>
      <c r="B29" s="2" t="s">
        <v>156</v>
      </c>
      <c r="C29" s="51">
        <v>-298531.78999999998</v>
      </c>
      <c r="D29" s="7">
        <v>-311356.71999999997</v>
      </c>
      <c r="E29" s="7">
        <v>-327000</v>
      </c>
      <c r="F29" s="7">
        <v>-343000</v>
      </c>
      <c r="G29" s="7">
        <v>-360000</v>
      </c>
      <c r="H29" s="7">
        <v>-378000</v>
      </c>
    </row>
    <row r="30" spans="1:8" x14ac:dyDescent="0.25">
      <c r="A30" s="13" t="s">
        <v>41</v>
      </c>
      <c r="B30" s="13" t="s">
        <v>42</v>
      </c>
      <c r="C30" s="51">
        <v>-4034.87</v>
      </c>
      <c r="D30" s="7">
        <v>-4200</v>
      </c>
      <c r="E30" s="7">
        <v>-4200</v>
      </c>
      <c r="F30" s="7">
        <v>-4200</v>
      </c>
      <c r="G30" s="7">
        <v>-4200</v>
      </c>
      <c r="H30" s="7">
        <v>-4200</v>
      </c>
    </row>
    <row r="31" spans="1:8" x14ac:dyDescent="0.25">
      <c r="A31" s="13" t="s">
        <v>43</v>
      </c>
      <c r="B31" s="13" t="s">
        <v>44</v>
      </c>
      <c r="C31" s="51"/>
      <c r="D31" s="7"/>
      <c r="E31" s="7"/>
      <c r="F31" s="7"/>
      <c r="G31" s="7"/>
      <c r="H31" s="7"/>
    </row>
    <row r="32" spans="1:8" x14ac:dyDescent="0.25">
      <c r="A32" s="13" t="s">
        <v>45</v>
      </c>
      <c r="B32" s="13" t="s">
        <v>46</v>
      </c>
      <c r="C32" s="51">
        <v>-20</v>
      </c>
      <c r="D32" s="51"/>
      <c r="E32" s="51"/>
      <c r="F32" s="51"/>
      <c r="G32" s="51"/>
      <c r="H32" s="51"/>
    </row>
    <row r="33" spans="1:8" x14ac:dyDescent="0.25">
      <c r="A33" s="13" t="s">
        <v>47</v>
      </c>
      <c r="B33" s="13" t="s">
        <v>48</v>
      </c>
      <c r="C33" s="51">
        <v>-108.45</v>
      </c>
      <c r="D33" s="51"/>
      <c r="E33" s="51"/>
      <c r="F33" s="51"/>
      <c r="G33" s="51"/>
      <c r="H33" s="51"/>
    </row>
    <row r="34" spans="1:8" x14ac:dyDescent="0.25">
      <c r="A34" s="5" t="s">
        <v>1</v>
      </c>
      <c r="B34" s="5"/>
      <c r="C34" s="7">
        <f>SUM(C24:C28)+SUM(C30:C33)</f>
        <v>-824102.91999999993</v>
      </c>
      <c r="D34" s="7">
        <f>SUM(D24:D28)+SUM(D30:D33)</f>
        <v>-810389.91</v>
      </c>
      <c r="E34" s="7">
        <f>SUM(E24:E28)+SUM(E30:E33)</f>
        <v>-813200</v>
      </c>
      <c r="F34" s="7">
        <f>SUM(F24:F28)+SUM(F30:F33)</f>
        <v>-821200</v>
      </c>
      <c r="G34" s="7">
        <f>SUM(G24:G28)+SUM(G30:G33)</f>
        <v>-829200</v>
      </c>
      <c r="H34" s="7">
        <f>SUM(H24:H28)+SUM(H30:H33)</f>
        <v>-829200</v>
      </c>
    </row>
    <row r="35" spans="1:8" x14ac:dyDescent="0.25">
      <c r="A35" s="5"/>
      <c r="B35" s="5"/>
      <c r="C35" s="7"/>
      <c r="D35" s="7"/>
      <c r="E35" s="7"/>
      <c r="F35" s="7"/>
      <c r="G35" s="7"/>
      <c r="H35" s="7"/>
    </row>
    <row r="36" spans="1:8" s="17" customFormat="1" x14ac:dyDescent="0.25">
      <c r="A36" s="21" t="s">
        <v>150</v>
      </c>
      <c r="B36" s="21"/>
      <c r="C36" s="19"/>
      <c r="D36" s="19"/>
      <c r="E36" s="19"/>
      <c r="F36" s="19"/>
      <c r="G36" s="19"/>
      <c r="H36" s="19"/>
    </row>
    <row r="37" spans="1:8" s="17" customFormat="1" x14ac:dyDescent="0.25">
      <c r="A37" s="21" t="s">
        <v>119</v>
      </c>
      <c r="B37" s="21" t="s">
        <v>118</v>
      </c>
      <c r="C37" s="19">
        <v>-1875</v>
      </c>
      <c r="D37" s="19"/>
      <c r="E37" s="19"/>
      <c r="F37" s="19"/>
      <c r="G37" s="19"/>
      <c r="H37" s="19"/>
    </row>
    <row r="38" spans="1:8" s="17" customFormat="1" x14ac:dyDescent="0.25">
      <c r="A38" s="21" t="s">
        <v>133</v>
      </c>
      <c r="B38" s="21" t="s">
        <v>134</v>
      </c>
      <c r="C38" s="19">
        <v>-818064.5</v>
      </c>
      <c r="D38" s="19">
        <v>-806189.99</v>
      </c>
      <c r="E38" s="19">
        <v>-809000</v>
      </c>
      <c r="F38" s="19">
        <v>-817000</v>
      </c>
      <c r="G38" s="19">
        <v>-836000</v>
      </c>
      <c r="H38" s="19">
        <v>-825000</v>
      </c>
    </row>
    <row r="39" spans="1:8" s="17" customFormat="1" x14ac:dyDescent="0.25">
      <c r="A39" s="21" t="s">
        <v>136</v>
      </c>
      <c r="B39" s="21" t="s">
        <v>135</v>
      </c>
      <c r="C39" s="19">
        <v>-40620.080000000002</v>
      </c>
      <c r="D39" s="19">
        <v>-14200</v>
      </c>
      <c r="E39" s="19">
        <v>-14200</v>
      </c>
      <c r="F39" s="19">
        <v>-14200</v>
      </c>
      <c r="G39" s="19">
        <v>-14200</v>
      </c>
      <c r="H39" s="19">
        <v>-14200</v>
      </c>
    </row>
    <row r="40" spans="1:8" s="17" customFormat="1" x14ac:dyDescent="0.25">
      <c r="A40" s="21" t="s">
        <v>138</v>
      </c>
      <c r="B40" s="21" t="s">
        <v>120</v>
      </c>
      <c r="C40" s="55">
        <v>-37256</v>
      </c>
      <c r="D40" s="19">
        <v>-27000</v>
      </c>
      <c r="E40" s="19">
        <v>-27000</v>
      </c>
      <c r="F40" s="19">
        <v>-27000</v>
      </c>
      <c r="G40" s="19">
        <v>-27000</v>
      </c>
      <c r="H40" s="19">
        <v>-27000</v>
      </c>
    </row>
    <row r="41" spans="1:8" s="17" customFormat="1" x14ac:dyDescent="0.25">
      <c r="A41" s="21" t="s">
        <v>113</v>
      </c>
      <c r="B41" s="21" t="s">
        <v>137</v>
      </c>
      <c r="C41" s="19">
        <f>C37+C38+C39</f>
        <v>-860559.58</v>
      </c>
      <c r="D41" s="19">
        <f>D37+D38+D39</f>
        <v>-820389.99</v>
      </c>
      <c r="E41" s="19">
        <f>E37+E38+E39</f>
        <v>-823200</v>
      </c>
      <c r="F41" s="19">
        <f>F37+F38+F39</f>
        <v>-831200</v>
      </c>
      <c r="G41" s="19">
        <f>G37+G38+G39</f>
        <v>-850200</v>
      </c>
      <c r="H41" s="19">
        <f>H37+H38+H39</f>
        <v>-839200</v>
      </c>
    </row>
    <row r="42" spans="1:8" x14ac:dyDescent="0.25">
      <c r="A42" s="5"/>
      <c r="B42" s="5"/>
      <c r="C42" s="51"/>
      <c r="D42" s="7"/>
      <c r="E42" s="7"/>
      <c r="F42" s="7"/>
      <c r="G42" s="7"/>
      <c r="H42" s="7"/>
    </row>
    <row r="43" spans="1:8" x14ac:dyDescent="0.25">
      <c r="A43" s="8" t="s">
        <v>2</v>
      </c>
      <c r="B43" s="8"/>
      <c r="C43" s="9">
        <f>C16+C34</f>
        <v>274402.93000000017</v>
      </c>
      <c r="D43" s="9">
        <f>D16+D34</f>
        <v>121893.08999999997</v>
      </c>
      <c r="E43" s="9">
        <f>E16+E34</f>
        <v>124083</v>
      </c>
      <c r="F43" s="9">
        <f>F16+F34</f>
        <v>116083</v>
      </c>
      <c r="G43" s="9">
        <f>G16+G34</f>
        <v>108083</v>
      </c>
      <c r="H43" s="9">
        <f>H16+H34</f>
        <v>108083</v>
      </c>
    </row>
    <row r="44" spans="1:8" x14ac:dyDescent="0.25">
      <c r="A44" s="10" t="s">
        <v>3</v>
      </c>
      <c r="B44" s="10"/>
      <c r="C44" s="11">
        <f>C43/C16</f>
        <v>0.24979651223523311</v>
      </c>
      <c r="D44" s="11">
        <f>D43/D16</f>
        <v>0.13074687621677106</v>
      </c>
      <c r="E44" s="11">
        <f>E43/E16</f>
        <v>0.13238584290977218</v>
      </c>
      <c r="F44" s="11">
        <f>F43/F16</f>
        <v>0.12385053393692193</v>
      </c>
      <c r="G44" s="11">
        <f>G43/G16</f>
        <v>0.11531522496407168</v>
      </c>
      <c r="H44" s="11">
        <f>H43/H16</f>
        <v>0.11531522496407168</v>
      </c>
    </row>
    <row r="45" spans="1:8" x14ac:dyDescent="0.25">
      <c r="A45" s="10"/>
      <c r="B45" s="10"/>
      <c r="C45" s="62"/>
      <c r="D45" s="62"/>
      <c r="E45" s="62"/>
      <c r="F45" s="62"/>
      <c r="G45" s="62"/>
      <c r="H45" s="62"/>
    </row>
    <row r="46" spans="1:8" s="17" customFormat="1" x14ac:dyDescent="0.25">
      <c r="A46" s="22" t="s">
        <v>130</v>
      </c>
      <c r="B46" s="22" t="s">
        <v>141</v>
      </c>
      <c r="C46" s="23">
        <f>C21+C41</f>
        <v>-860559.58</v>
      </c>
      <c r="D46" s="23">
        <f>D21+D41</f>
        <v>-820389.99</v>
      </c>
      <c r="E46" s="23">
        <f>E21+E41</f>
        <v>-823200</v>
      </c>
      <c r="F46" s="23">
        <f>F21+F41</f>
        <v>-831200</v>
      </c>
      <c r="G46" s="23">
        <f>G21+G41</f>
        <v>-850200</v>
      </c>
      <c r="H46" s="23">
        <f>H21+H41</f>
        <v>-839200</v>
      </c>
    </row>
    <row r="47" spans="1:8" x14ac:dyDescent="0.25">
      <c r="A47" s="10"/>
      <c r="B47" s="10"/>
      <c r="C47" s="62"/>
      <c r="D47" s="62"/>
      <c r="E47" s="62"/>
      <c r="F47" s="62"/>
      <c r="G47" s="62"/>
      <c r="H47" s="62"/>
    </row>
    <row r="48" spans="1:8" x14ac:dyDescent="0.25">
      <c r="A48" s="5" t="s">
        <v>151</v>
      </c>
      <c r="B48" s="5"/>
      <c r="C48" s="51"/>
      <c r="D48" s="7"/>
      <c r="E48" s="7"/>
      <c r="F48" s="7"/>
      <c r="G48" s="7"/>
      <c r="H48" s="7"/>
    </row>
    <row r="49" spans="1:8" x14ac:dyDescent="0.25">
      <c r="A49" s="2" t="s">
        <v>107</v>
      </c>
      <c r="B49" s="5"/>
      <c r="C49" s="51">
        <v>-84538.6</v>
      </c>
      <c r="D49" s="7">
        <v>-100000</v>
      </c>
      <c r="E49" s="7"/>
      <c r="F49" s="7"/>
      <c r="G49" s="7"/>
      <c r="H49" s="7"/>
    </row>
    <row r="50" spans="1:8" x14ac:dyDescent="0.25">
      <c r="A50" s="2" t="s">
        <v>142</v>
      </c>
      <c r="B50" s="5"/>
      <c r="C50" s="51"/>
      <c r="D50" s="7"/>
      <c r="E50" s="7"/>
      <c r="F50" s="7"/>
      <c r="G50" s="7"/>
      <c r="H50" s="7"/>
    </row>
    <row r="51" spans="1:8" x14ac:dyDescent="0.25">
      <c r="A51" s="2" t="s">
        <v>4</v>
      </c>
      <c r="B51" s="5"/>
      <c r="C51" s="51"/>
      <c r="D51" s="7"/>
      <c r="E51" s="7"/>
      <c r="F51" s="7"/>
      <c r="G51" s="7"/>
      <c r="H51" s="7"/>
    </row>
    <row r="52" spans="1:8" x14ac:dyDescent="0.25">
      <c r="A52" s="2" t="s">
        <v>5</v>
      </c>
      <c r="B52" s="5"/>
      <c r="C52" s="51"/>
      <c r="D52" s="7"/>
      <c r="E52" s="7"/>
      <c r="F52" s="7"/>
      <c r="G52" s="7"/>
      <c r="H52" s="7"/>
    </row>
    <row r="53" spans="1:8" x14ac:dyDescent="0.25">
      <c r="A53" s="2" t="s">
        <v>143</v>
      </c>
      <c r="B53" s="5"/>
      <c r="C53" s="51"/>
      <c r="D53" s="7"/>
      <c r="E53" s="7"/>
      <c r="F53" s="7"/>
      <c r="G53" s="7"/>
      <c r="H53" s="7"/>
    </row>
    <row r="54" spans="1:8" x14ac:dyDescent="0.25">
      <c r="A54" s="2" t="s">
        <v>108</v>
      </c>
      <c r="B54" s="5"/>
      <c r="C54" s="51"/>
      <c r="D54" s="7"/>
      <c r="E54" s="7"/>
      <c r="F54" s="7"/>
      <c r="G54" s="7"/>
      <c r="H54" s="7"/>
    </row>
    <row r="55" spans="1:8" x14ac:dyDescent="0.25">
      <c r="A55" s="2" t="s">
        <v>144</v>
      </c>
      <c r="B55" s="5"/>
      <c r="C55" s="51"/>
      <c r="D55" s="7"/>
      <c r="E55" s="7"/>
      <c r="F55" s="7"/>
      <c r="G55" s="7"/>
      <c r="H55" s="7"/>
    </row>
    <row r="56" spans="1:8" x14ac:dyDescent="0.25">
      <c r="A56" s="2" t="s">
        <v>109</v>
      </c>
      <c r="B56" s="5"/>
      <c r="C56" s="51"/>
      <c r="D56" s="7"/>
      <c r="E56" s="7"/>
      <c r="F56" s="7"/>
      <c r="G56" s="7"/>
      <c r="H56" s="7"/>
    </row>
    <row r="57" spans="1:8" x14ac:dyDescent="0.25">
      <c r="A57" s="2" t="s">
        <v>145</v>
      </c>
      <c r="B57" s="5"/>
      <c r="C57" s="51"/>
      <c r="D57" s="7"/>
      <c r="E57" s="7"/>
      <c r="F57" s="7"/>
      <c r="G57" s="7"/>
      <c r="H57" s="7"/>
    </row>
    <row r="58" spans="1:8" x14ac:dyDescent="0.25">
      <c r="A58" s="2" t="s">
        <v>110</v>
      </c>
      <c r="B58" s="5"/>
      <c r="C58" s="51"/>
      <c r="D58" s="7"/>
      <c r="E58" s="7"/>
      <c r="F58" s="7"/>
      <c r="G58" s="7"/>
      <c r="H58" s="7"/>
    </row>
    <row r="59" spans="1:8" x14ac:dyDescent="0.25">
      <c r="A59" s="2" t="s">
        <v>146</v>
      </c>
      <c r="B59" s="5"/>
      <c r="C59" s="51"/>
      <c r="D59" s="7"/>
      <c r="E59" s="7"/>
      <c r="F59" s="7"/>
      <c r="G59" s="7"/>
      <c r="H59" s="7"/>
    </row>
    <row r="60" spans="1:8" x14ac:dyDescent="0.25">
      <c r="A60" s="2" t="s">
        <v>111</v>
      </c>
      <c r="B60" s="5"/>
      <c r="C60" s="51"/>
      <c r="D60" s="7"/>
      <c r="E60" s="7"/>
      <c r="F60" s="7"/>
      <c r="G60" s="7"/>
      <c r="H60" s="7"/>
    </row>
    <row r="61" spans="1:8" x14ac:dyDescent="0.25">
      <c r="A61" s="2" t="s">
        <v>112</v>
      </c>
      <c r="B61" s="5"/>
      <c r="C61" s="51"/>
      <c r="D61" s="7"/>
      <c r="E61" s="7"/>
      <c r="F61" s="7"/>
      <c r="G61" s="7"/>
      <c r="H61" s="7"/>
    </row>
    <row r="62" spans="1:8" s="17" customFormat="1" x14ac:dyDescent="0.25">
      <c r="A62" s="20" t="s">
        <v>6</v>
      </c>
      <c r="B62" s="20"/>
      <c r="C62" s="16">
        <f>SUM(C49:C61)</f>
        <v>-84538.6</v>
      </c>
      <c r="D62" s="16">
        <f>SUM(D49:D61)</f>
        <v>-100000</v>
      </c>
      <c r="E62" s="16">
        <f>SUM(E49:E61)</f>
        <v>0</v>
      </c>
      <c r="F62" s="16">
        <f>SUM(F49:F61)</f>
        <v>0</v>
      </c>
      <c r="G62" s="16">
        <f>SUM(G49:G61)</f>
        <v>0</v>
      </c>
      <c r="H62" s="16">
        <f>SUM(H49:H61)</f>
        <v>0</v>
      </c>
    </row>
    <row r="63" spans="1:8" s="17" customFormat="1" x14ac:dyDescent="0.25">
      <c r="A63" s="20"/>
      <c r="B63" s="20"/>
      <c r="C63" s="54"/>
      <c r="D63" s="16"/>
      <c r="E63" s="16"/>
      <c r="F63" s="16"/>
      <c r="G63" s="16"/>
      <c r="H63" s="16"/>
    </row>
    <row r="64" spans="1:8" s="17" customFormat="1" x14ac:dyDescent="0.25">
      <c r="A64" s="8" t="s">
        <v>7</v>
      </c>
      <c r="B64" s="8"/>
      <c r="C64" s="9">
        <f>C43+C62</f>
        <v>189864.33000000016</v>
      </c>
      <c r="D64" s="9">
        <f>D43+D62</f>
        <v>21893.089999999967</v>
      </c>
      <c r="E64" s="9">
        <f>E43+E62</f>
        <v>124083</v>
      </c>
      <c r="F64" s="9">
        <f>F43+F62</f>
        <v>116083</v>
      </c>
      <c r="G64" s="9">
        <f>G43+G62</f>
        <v>108083</v>
      </c>
      <c r="H64" s="9">
        <f>H43+H62</f>
        <v>108083</v>
      </c>
    </row>
    <row r="65" spans="1:8" s="17" customFormat="1" x14ac:dyDescent="0.25">
      <c r="A65" s="20"/>
      <c r="B65" s="20"/>
      <c r="C65" s="54"/>
      <c r="D65" s="16"/>
      <c r="E65" s="16"/>
      <c r="F65" s="16"/>
      <c r="G65" s="16"/>
      <c r="H65" s="16"/>
    </row>
    <row r="66" spans="1:8" s="17" customFormat="1" x14ac:dyDescent="0.25">
      <c r="A66" s="20" t="s">
        <v>93</v>
      </c>
      <c r="B66" s="20"/>
      <c r="C66" s="54"/>
      <c r="D66" s="16"/>
      <c r="E66" s="16"/>
      <c r="F66" s="16"/>
      <c r="G66" s="16"/>
      <c r="H66" s="16"/>
    </row>
    <row r="67" spans="1:8" s="17" customFormat="1" x14ac:dyDescent="0.25">
      <c r="A67" s="24" t="s">
        <v>59</v>
      </c>
      <c r="B67" s="24" t="s">
        <v>50</v>
      </c>
      <c r="C67" s="54"/>
      <c r="D67" s="54"/>
      <c r="E67" s="54"/>
      <c r="F67" s="54"/>
      <c r="G67" s="54"/>
      <c r="H67" s="54"/>
    </row>
    <row r="68" spans="1:8" s="17" customFormat="1" x14ac:dyDescent="0.25">
      <c r="A68" s="24" t="s">
        <v>60</v>
      </c>
      <c r="B68" s="15" t="s">
        <v>129</v>
      </c>
      <c r="C68" s="54"/>
      <c r="D68" s="54"/>
      <c r="E68" s="54"/>
      <c r="F68" s="54"/>
      <c r="G68" s="54"/>
      <c r="H68" s="54"/>
    </row>
    <row r="69" spans="1:8" ht="60" x14ac:dyDescent="0.25">
      <c r="A69" s="13" t="s">
        <v>61</v>
      </c>
      <c r="B69" s="26" t="s">
        <v>51</v>
      </c>
      <c r="C69" s="51"/>
      <c r="D69" s="7"/>
      <c r="E69" s="7"/>
      <c r="F69" s="7"/>
      <c r="G69" s="7"/>
      <c r="H69" s="7"/>
    </row>
    <row r="70" spans="1:8" x14ac:dyDescent="0.25">
      <c r="A70" s="13" t="s">
        <v>52</v>
      </c>
      <c r="B70" s="13" t="s">
        <v>62</v>
      </c>
      <c r="C70" s="51"/>
      <c r="D70" s="7"/>
      <c r="E70" s="7"/>
      <c r="F70" s="7"/>
      <c r="G70" s="7"/>
      <c r="H70" s="7"/>
    </row>
    <row r="71" spans="1:8" x14ac:dyDescent="0.25">
      <c r="A71" s="13" t="s">
        <v>63</v>
      </c>
      <c r="B71" s="13" t="s">
        <v>64</v>
      </c>
      <c r="C71" s="51"/>
      <c r="D71" s="7"/>
      <c r="E71" s="7"/>
      <c r="F71" s="7"/>
      <c r="G71" s="7"/>
      <c r="H71" s="7"/>
    </row>
    <row r="72" spans="1:8" x14ac:dyDescent="0.25">
      <c r="A72" s="13" t="s">
        <v>65</v>
      </c>
      <c r="B72" s="13" t="s">
        <v>66</v>
      </c>
      <c r="C72" s="51"/>
      <c r="D72" s="7"/>
      <c r="E72" s="7"/>
      <c r="F72" s="7"/>
      <c r="G72" s="7"/>
      <c r="H72" s="7"/>
    </row>
    <row r="73" spans="1:8" x14ac:dyDescent="0.25">
      <c r="A73" s="13" t="s">
        <v>67</v>
      </c>
      <c r="B73" s="13" t="s">
        <v>68</v>
      </c>
      <c r="C73" s="51"/>
      <c r="D73" s="7"/>
      <c r="E73" s="7"/>
      <c r="F73" s="7"/>
      <c r="G73" s="7"/>
      <c r="H73" s="7"/>
    </row>
    <row r="74" spans="1:8" x14ac:dyDescent="0.25">
      <c r="A74" s="13" t="s">
        <v>53</v>
      </c>
      <c r="B74" s="13" t="s">
        <v>69</v>
      </c>
      <c r="C74" s="51"/>
      <c r="D74" s="7"/>
      <c r="E74" s="7"/>
      <c r="F74" s="7"/>
      <c r="G74" s="7"/>
      <c r="H74" s="7"/>
    </row>
    <row r="75" spans="1:8" x14ac:dyDescent="0.25">
      <c r="A75" s="13" t="s">
        <v>70</v>
      </c>
      <c r="B75" s="13" t="s">
        <v>71</v>
      </c>
      <c r="C75" s="51"/>
      <c r="D75" s="7"/>
      <c r="E75" s="7"/>
      <c r="F75" s="7"/>
      <c r="G75" s="7"/>
      <c r="H75" s="7"/>
    </row>
    <row r="76" spans="1:8" x14ac:dyDescent="0.25">
      <c r="A76" s="13" t="s">
        <v>54</v>
      </c>
      <c r="B76" s="13" t="s">
        <v>58</v>
      </c>
      <c r="C76" s="51"/>
      <c r="D76" s="7"/>
      <c r="E76" s="7"/>
      <c r="F76" s="7"/>
      <c r="G76" s="7"/>
      <c r="H76" s="7"/>
    </row>
    <row r="77" spans="1:8" x14ac:dyDescent="0.25">
      <c r="A77" s="13" t="s">
        <v>55</v>
      </c>
      <c r="B77" s="13" t="s">
        <v>72</v>
      </c>
      <c r="C77" s="51"/>
      <c r="D77" s="7"/>
      <c r="E77" s="7"/>
      <c r="F77" s="7"/>
      <c r="G77" s="7"/>
      <c r="H77" s="7"/>
    </row>
    <row r="78" spans="1:8" ht="45" x14ac:dyDescent="0.25">
      <c r="A78" s="13" t="s">
        <v>73</v>
      </c>
      <c r="B78" s="26" t="s">
        <v>74</v>
      </c>
      <c r="C78" s="51"/>
      <c r="D78" s="7"/>
      <c r="E78" s="7"/>
      <c r="F78" s="7"/>
      <c r="G78" s="7"/>
      <c r="H78" s="7"/>
    </row>
    <row r="79" spans="1:8" x14ac:dyDescent="0.25">
      <c r="A79" s="13" t="s">
        <v>56</v>
      </c>
      <c r="B79" s="13" t="s">
        <v>75</v>
      </c>
      <c r="C79" s="51"/>
      <c r="D79" s="7"/>
      <c r="E79" s="7"/>
      <c r="F79" s="7"/>
      <c r="G79" s="7"/>
      <c r="H79" s="7"/>
    </row>
    <row r="80" spans="1:8" x14ac:dyDescent="0.25">
      <c r="A80" s="13" t="s">
        <v>76</v>
      </c>
      <c r="B80" s="13" t="s">
        <v>77</v>
      </c>
      <c r="C80" s="51"/>
      <c r="D80" s="7"/>
      <c r="E80" s="7"/>
      <c r="F80" s="7"/>
      <c r="G80" s="7"/>
      <c r="H80" s="7"/>
    </row>
    <row r="81" spans="1:8" ht="15" customHeight="1" x14ac:dyDescent="0.25">
      <c r="A81" s="13" t="s">
        <v>57</v>
      </c>
      <c r="B81" s="13" t="s">
        <v>78</v>
      </c>
      <c r="C81" s="51"/>
      <c r="D81" s="7"/>
      <c r="E81" s="7"/>
      <c r="F81" s="7"/>
      <c r="G81" s="7"/>
      <c r="H81" s="7"/>
    </row>
    <row r="82" spans="1:8" x14ac:dyDescent="0.25">
      <c r="A82" s="5" t="s">
        <v>8</v>
      </c>
      <c r="B82" s="5"/>
      <c r="C82" s="7">
        <f>SUM(C67:C81)</f>
        <v>0</v>
      </c>
      <c r="D82" s="7">
        <f>SUM(D67:D81)</f>
        <v>0</v>
      </c>
      <c r="E82" s="7">
        <f>SUM(E67:E81)</f>
        <v>0</v>
      </c>
      <c r="F82" s="7">
        <f>SUM(F67:F81)</f>
        <v>0</v>
      </c>
      <c r="G82" s="7">
        <f>SUM(G67:G81)</f>
        <v>0</v>
      </c>
      <c r="H82" s="7">
        <f>SUM(H67:H81)</f>
        <v>0</v>
      </c>
    </row>
    <row r="83" spans="1:8" x14ac:dyDescent="0.25">
      <c r="A83" s="5"/>
      <c r="B83" s="5"/>
      <c r="C83" s="51"/>
      <c r="D83" s="7"/>
      <c r="E83" s="7"/>
      <c r="F83" s="7"/>
      <c r="G83" s="7"/>
      <c r="H83" s="7"/>
    </row>
    <row r="84" spans="1:8" s="17" customFormat="1" x14ac:dyDescent="0.25">
      <c r="A84" s="21" t="s">
        <v>125</v>
      </c>
      <c r="B84" s="18" t="s">
        <v>124</v>
      </c>
      <c r="C84" s="55">
        <v>16023.53</v>
      </c>
      <c r="D84" s="19">
        <v>43985.41</v>
      </c>
      <c r="E84" s="19">
        <v>17000</v>
      </c>
      <c r="F84" s="19">
        <v>17000</v>
      </c>
      <c r="G84" s="19">
        <v>17000</v>
      </c>
      <c r="H84" s="19">
        <v>17000</v>
      </c>
    </row>
    <row r="85" spans="1:8" x14ac:dyDescent="0.25">
      <c r="A85" s="5"/>
      <c r="B85" s="5"/>
      <c r="C85" s="51"/>
      <c r="D85" s="7"/>
      <c r="E85" s="7"/>
      <c r="F85" s="7"/>
      <c r="G85" s="7"/>
      <c r="H85" s="7"/>
    </row>
    <row r="86" spans="1:8" x14ac:dyDescent="0.25">
      <c r="A86" s="5" t="s">
        <v>152</v>
      </c>
      <c r="B86" s="5"/>
      <c r="C86" s="51"/>
      <c r="D86" s="7"/>
      <c r="E86" s="7"/>
      <c r="F86" s="7"/>
      <c r="G86" s="7"/>
      <c r="H86" s="7"/>
    </row>
    <row r="87" spans="1:8" s="17" customFormat="1" x14ac:dyDescent="0.25">
      <c r="A87" s="15" t="s">
        <v>9</v>
      </c>
      <c r="B87" s="15" t="s">
        <v>80</v>
      </c>
      <c r="C87" s="54">
        <v>-245384.81</v>
      </c>
      <c r="D87" s="16">
        <v>-257279.54</v>
      </c>
      <c r="E87" s="16">
        <v>-200000</v>
      </c>
      <c r="F87" s="16">
        <v>-190000</v>
      </c>
      <c r="G87" s="16">
        <v>-180000</v>
      </c>
      <c r="H87" s="16">
        <v>-170000</v>
      </c>
    </row>
    <row r="88" spans="1:8" x14ac:dyDescent="0.25">
      <c r="A88" s="13" t="s">
        <v>88</v>
      </c>
      <c r="B88" s="2" t="s">
        <v>81</v>
      </c>
      <c r="C88" s="51"/>
      <c r="D88" s="7"/>
      <c r="E88" s="7"/>
      <c r="F88" s="7"/>
      <c r="G88" s="7"/>
      <c r="H88" s="7"/>
    </row>
    <row r="89" spans="1:8" x14ac:dyDescent="0.25">
      <c r="A89" s="13" t="s">
        <v>88</v>
      </c>
      <c r="B89" s="2" t="s">
        <v>82</v>
      </c>
      <c r="C89" s="51"/>
      <c r="D89" s="7"/>
      <c r="E89" s="7"/>
      <c r="F89" s="7"/>
      <c r="G89" s="7"/>
      <c r="H89" s="7"/>
    </row>
    <row r="90" spans="1:8" x14ac:dyDescent="0.25">
      <c r="A90" s="13" t="s">
        <v>89</v>
      </c>
      <c r="B90" s="2" t="s">
        <v>83</v>
      </c>
      <c r="C90" s="51"/>
      <c r="D90" s="7"/>
      <c r="E90" s="7"/>
      <c r="F90" s="7"/>
      <c r="G90" s="7"/>
      <c r="H90" s="7"/>
    </row>
    <row r="91" spans="1:8" x14ac:dyDescent="0.25">
      <c r="A91" s="13" t="s">
        <v>90</v>
      </c>
      <c r="B91" s="2" t="s">
        <v>84</v>
      </c>
      <c r="C91" s="51"/>
      <c r="D91" s="7"/>
      <c r="E91" s="7"/>
      <c r="F91" s="7"/>
      <c r="G91" s="7"/>
      <c r="H91" s="7"/>
    </row>
    <row r="92" spans="1:8" x14ac:dyDescent="0.25">
      <c r="A92" s="13" t="s">
        <v>79</v>
      </c>
      <c r="B92" s="2" t="s">
        <v>85</v>
      </c>
      <c r="C92" s="51"/>
      <c r="D92" s="7"/>
      <c r="E92" s="7"/>
      <c r="F92" s="7"/>
      <c r="G92" s="7"/>
      <c r="H92" s="7"/>
    </row>
    <row r="93" spans="1:8" x14ac:dyDescent="0.25">
      <c r="A93" s="13" t="s">
        <v>91</v>
      </c>
      <c r="B93" s="2" t="s">
        <v>86</v>
      </c>
      <c r="C93" s="51"/>
      <c r="D93" s="7"/>
      <c r="E93" s="7"/>
      <c r="F93" s="7"/>
      <c r="G93" s="7"/>
      <c r="H93" s="7"/>
    </row>
    <row r="94" spans="1:8" x14ac:dyDescent="0.25">
      <c r="A94" s="13" t="s">
        <v>92</v>
      </c>
      <c r="B94" s="2" t="s">
        <v>87</v>
      </c>
      <c r="C94" s="51"/>
      <c r="D94" s="7"/>
      <c r="E94" s="7"/>
      <c r="F94" s="7"/>
      <c r="G94" s="7"/>
      <c r="H94" s="7"/>
    </row>
    <row r="95" spans="1:8" x14ac:dyDescent="0.25">
      <c r="A95" s="5" t="s">
        <v>10</v>
      </c>
      <c r="B95" s="5"/>
      <c r="C95" s="7">
        <f>SUM(C87:C94)</f>
        <v>-245384.81</v>
      </c>
      <c r="D95" s="7">
        <f>SUM(D87:D94)</f>
        <v>-257279.54</v>
      </c>
      <c r="E95" s="7">
        <f>SUM(E87:E94)</f>
        <v>-200000</v>
      </c>
      <c r="F95" s="7">
        <f>SUM(F87:F94)</f>
        <v>-190000</v>
      </c>
      <c r="G95" s="7">
        <f>SUM(G87:G94)</f>
        <v>-180000</v>
      </c>
      <c r="H95" s="7">
        <f>SUM(H87:H94)</f>
        <v>-170000</v>
      </c>
    </row>
    <row r="96" spans="1:8" x14ac:dyDescent="0.25">
      <c r="A96" s="5"/>
      <c r="B96" s="5"/>
      <c r="C96" s="51"/>
      <c r="D96" s="7"/>
      <c r="E96" s="7"/>
      <c r="F96" s="7"/>
      <c r="G96" s="7"/>
      <c r="H96" s="7"/>
    </row>
    <row r="97" spans="1:8" s="17" customFormat="1" x14ac:dyDescent="0.25">
      <c r="A97" s="21" t="s">
        <v>121</v>
      </c>
      <c r="B97" s="21" t="s">
        <v>126</v>
      </c>
      <c r="C97" s="55">
        <v>312601.48</v>
      </c>
      <c r="D97" s="19">
        <v>258179.54</v>
      </c>
      <c r="E97" s="19">
        <v>198798.6</v>
      </c>
      <c r="F97" s="19">
        <v>188859</v>
      </c>
      <c r="G97" s="19">
        <v>178919</v>
      </c>
      <c r="H97" s="19">
        <v>168979</v>
      </c>
    </row>
    <row r="98" spans="1:8" s="17" customFormat="1" x14ac:dyDescent="0.25">
      <c r="A98" s="21" t="s">
        <v>122</v>
      </c>
      <c r="B98" s="21" t="s">
        <v>127</v>
      </c>
      <c r="C98" s="55">
        <v>489522.04</v>
      </c>
      <c r="D98" s="19">
        <v>655182.68999999994</v>
      </c>
      <c r="E98" s="19">
        <f>D98-27000</f>
        <v>628182.68999999994</v>
      </c>
      <c r="F98" s="19">
        <f>E98-27000</f>
        <v>601182.68999999994</v>
      </c>
      <c r="G98" s="19">
        <f>F98-27000</f>
        <v>574182.68999999994</v>
      </c>
      <c r="H98" s="19">
        <f>G98-27000</f>
        <v>547182.68999999994</v>
      </c>
    </row>
    <row r="99" spans="1:8" s="17" customFormat="1" x14ac:dyDescent="0.25">
      <c r="A99" s="21" t="s">
        <v>131</v>
      </c>
      <c r="B99" s="21"/>
      <c r="C99" s="56">
        <f>C100-C84</f>
        <v>786099.99</v>
      </c>
      <c r="D99" s="56">
        <f>D100-D84</f>
        <v>869376.82</v>
      </c>
      <c r="E99" s="56">
        <f>E100-E84</f>
        <v>809981.28999999992</v>
      </c>
      <c r="F99" s="56">
        <f>F100-F84</f>
        <v>773041.69</v>
      </c>
      <c r="G99" s="56">
        <f>G100-G84</f>
        <v>736101.69</v>
      </c>
      <c r="H99" s="56">
        <f>H100-H84</f>
        <v>699161.69</v>
      </c>
    </row>
    <row r="100" spans="1:8" s="17" customFormat="1" x14ac:dyDescent="0.25">
      <c r="A100" s="21" t="s">
        <v>123</v>
      </c>
      <c r="B100" s="21" t="s">
        <v>128</v>
      </c>
      <c r="C100" s="56">
        <f>C97+C98</f>
        <v>802123.52</v>
      </c>
      <c r="D100" s="56">
        <f>D97+D98</f>
        <v>913362.23</v>
      </c>
      <c r="E100" s="56">
        <f>E97+E98</f>
        <v>826981.28999999992</v>
      </c>
      <c r="F100" s="56">
        <f>F97+F98</f>
        <v>790041.69</v>
      </c>
      <c r="G100" s="56">
        <f>G97+G98</f>
        <v>753101.69</v>
      </c>
      <c r="H100" s="56">
        <f>H97+H98</f>
        <v>716161.69</v>
      </c>
    </row>
    <row r="101" spans="1:8" x14ac:dyDescent="0.25">
      <c r="A101" s="5"/>
      <c r="B101" s="5"/>
      <c r="C101" s="113">
        <f>C99-C100+C84+C68</f>
        <v>-2.7284841053187847E-11</v>
      </c>
      <c r="D101" s="113">
        <f>D99-D100+D84+D68</f>
        <v>-2.9103830456733704E-11</v>
      </c>
      <c r="E101" s="113">
        <f>E99-E100+E84+E68</f>
        <v>0</v>
      </c>
      <c r="F101" s="113">
        <f>F99-F100+F84+F68</f>
        <v>0</v>
      </c>
      <c r="G101" s="113">
        <f>G99-G100+G84+G68</f>
        <v>0</v>
      </c>
      <c r="H101" s="113">
        <f>H99-H100+H84+H68</f>
        <v>0</v>
      </c>
    </row>
    <row r="102" spans="1:8" x14ac:dyDescent="0.25">
      <c r="A102" s="8" t="s">
        <v>11</v>
      </c>
      <c r="B102" s="8"/>
      <c r="C102" s="9">
        <f>C82+C95</f>
        <v>-245384.81</v>
      </c>
      <c r="D102" s="9">
        <f>D82+D95</f>
        <v>-257279.54</v>
      </c>
      <c r="E102" s="9">
        <f>E82+E95</f>
        <v>-200000</v>
      </c>
      <c r="F102" s="9">
        <f>F82+F95</f>
        <v>-190000</v>
      </c>
      <c r="G102" s="9">
        <f>G82+G95</f>
        <v>-180000</v>
      </c>
      <c r="H102" s="9">
        <f>H82+H95</f>
        <v>-170000</v>
      </c>
    </row>
    <row r="103" spans="1:8" x14ac:dyDescent="0.25">
      <c r="A103" s="10" t="s">
        <v>3</v>
      </c>
      <c r="B103" s="10"/>
      <c r="C103" s="11">
        <f>C102/C16</f>
        <v>-0.22338052182425791</v>
      </c>
      <c r="D103" s="11">
        <f>D102/D16</f>
        <v>-0.27596721167285043</v>
      </c>
      <c r="E103" s="11">
        <f>E102/E16</f>
        <v>-0.21338272432125624</v>
      </c>
      <c r="F103" s="11">
        <f>F102/F16</f>
        <v>-0.20271358810519341</v>
      </c>
      <c r="G103" s="11">
        <f>G102/G16</f>
        <v>-0.19204445188913061</v>
      </c>
      <c r="H103" s="11">
        <f>H102/H16</f>
        <v>-0.18137531567306781</v>
      </c>
    </row>
    <row r="104" spans="1:8" x14ac:dyDescent="0.25">
      <c r="A104" s="27"/>
      <c r="B104" s="27"/>
      <c r="C104" s="28"/>
      <c r="D104" s="28"/>
      <c r="E104" s="28"/>
      <c r="F104" s="28"/>
      <c r="G104" s="28"/>
      <c r="H104" s="28"/>
    </row>
    <row r="105" spans="1:8" x14ac:dyDescent="0.25">
      <c r="A105" s="101" t="s">
        <v>139</v>
      </c>
      <c r="B105" s="101"/>
      <c r="C105" s="101"/>
      <c r="D105" s="101"/>
      <c r="E105" s="101"/>
      <c r="F105" s="101"/>
      <c r="G105" s="101"/>
      <c r="H105" s="101"/>
    </row>
    <row r="106" spans="1:8" s="17" customFormat="1" x14ac:dyDescent="0.25">
      <c r="A106" s="17" t="s">
        <v>154</v>
      </c>
      <c r="B106" s="29"/>
      <c r="C106" s="29"/>
      <c r="D106" s="29"/>
      <c r="E106" s="29"/>
      <c r="F106" s="29"/>
      <c r="G106" s="29"/>
      <c r="H106" s="29"/>
    </row>
    <row r="107" spans="1:8" x14ac:dyDescent="0.25">
      <c r="A107" s="32" t="s">
        <v>153</v>
      </c>
    </row>
    <row r="108" spans="1:8" ht="30" customHeight="1" x14ac:dyDescent="0.25">
      <c r="A108" s="100" t="s">
        <v>94</v>
      </c>
      <c r="B108" s="100"/>
      <c r="C108" s="100"/>
      <c r="D108" s="100"/>
      <c r="E108" s="100"/>
      <c r="F108" s="100"/>
      <c r="G108" s="100"/>
      <c r="H108" s="100"/>
    </row>
    <row r="109" spans="1:8" ht="45.75" customHeight="1" x14ac:dyDescent="0.25">
      <c r="A109" s="100" t="s">
        <v>95</v>
      </c>
      <c r="B109" s="100"/>
      <c r="C109" s="100"/>
      <c r="D109" s="100"/>
      <c r="E109" s="100"/>
      <c r="F109" s="100"/>
      <c r="G109" s="100"/>
      <c r="H109" s="100"/>
    </row>
    <row r="110" spans="1:8" ht="30" customHeight="1" x14ac:dyDescent="0.25">
      <c r="A110" s="100" t="s">
        <v>96</v>
      </c>
      <c r="B110" s="100"/>
      <c r="C110" s="100"/>
      <c r="D110" s="100"/>
      <c r="E110" s="100"/>
      <c r="F110" s="100"/>
      <c r="G110" s="100"/>
      <c r="H110" s="100"/>
    </row>
    <row r="111" spans="1:8" ht="30" customHeight="1" x14ac:dyDescent="0.25">
      <c r="A111" s="100" t="s">
        <v>97</v>
      </c>
      <c r="B111" s="100"/>
      <c r="C111" s="100"/>
      <c r="D111" s="100"/>
      <c r="E111" s="100"/>
      <c r="F111" s="100"/>
      <c r="G111" s="100"/>
      <c r="H111" s="100"/>
    </row>
    <row r="112" spans="1:8" x14ac:dyDescent="0.25">
      <c r="A112" s="100" t="s">
        <v>98</v>
      </c>
      <c r="B112" s="100"/>
      <c r="C112" s="100"/>
      <c r="D112" s="100"/>
      <c r="E112" s="100"/>
      <c r="F112" s="100"/>
      <c r="G112" s="100"/>
      <c r="H112" s="100"/>
    </row>
    <row r="113" spans="1:8" x14ac:dyDescent="0.25">
      <c r="A113" s="100" t="s">
        <v>99</v>
      </c>
      <c r="B113" s="100"/>
      <c r="C113" s="100"/>
      <c r="D113" s="100"/>
      <c r="E113" s="100"/>
      <c r="F113" s="100"/>
      <c r="G113" s="100"/>
      <c r="H113" s="100"/>
    </row>
    <row r="114" spans="1:8" x14ac:dyDescent="0.25">
      <c r="A114" s="100" t="s">
        <v>100</v>
      </c>
      <c r="B114" s="100"/>
      <c r="C114" s="100"/>
      <c r="D114" s="100"/>
      <c r="E114" s="100"/>
      <c r="F114" s="100"/>
      <c r="G114" s="100"/>
      <c r="H114" s="100"/>
    </row>
    <row r="115" spans="1:8" ht="30" customHeight="1" x14ac:dyDescent="0.25">
      <c r="A115" s="100" t="s">
        <v>101</v>
      </c>
      <c r="B115" s="100"/>
      <c r="C115" s="100"/>
      <c r="D115" s="100"/>
      <c r="E115" s="100"/>
      <c r="F115" s="100"/>
      <c r="G115" s="100"/>
      <c r="H115" s="100"/>
    </row>
    <row r="116" spans="1:8" ht="30" customHeight="1" x14ac:dyDescent="0.25">
      <c r="A116" s="100" t="s">
        <v>102</v>
      </c>
      <c r="B116" s="100"/>
      <c r="C116" s="100"/>
      <c r="D116" s="100"/>
      <c r="E116" s="100"/>
      <c r="F116" s="100"/>
      <c r="G116" s="100"/>
      <c r="H116" s="100"/>
    </row>
    <row r="117" spans="1:8" ht="30" customHeight="1" x14ac:dyDescent="0.25">
      <c r="A117" s="100" t="s">
        <v>103</v>
      </c>
      <c r="B117" s="100"/>
      <c r="C117" s="100"/>
      <c r="D117" s="100"/>
      <c r="E117" s="100"/>
      <c r="F117" s="100"/>
      <c r="G117" s="100"/>
      <c r="H117" s="100"/>
    </row>
    <row r="118" spans="1:8" ht="30" customHeight="1" x14ac:dyDescent="0.25">
      <c r="A118" s="100" t="s">
        <v>104</v>
      </c>
      <c r="B118" s="100"/>
      <c r="C118" s="100"/>
      <c r="D118" s="100"/>
      <c r="E118" s="100"/>
      <c r="F118" s="100"/>
      <c r="G118" s="100"/>
      <c r="H118" s="100"/>
    </row>
    <row r="119" spans="1:8" x14ac:dyDescent="0.25">
      <c r="A119" s="100" t="s">
        <v>105</v>
      </c>
      <c r="B119" s="100"/>
      <c r="C119" s="100"/>
      <c r="D119" s="100"/>
      <c r="E119" s="100"/>
      <c r="F119" s="100"/>
      <c r="G119" s="100"/>
      <c r="H119" s="100"/>
    </row>
    <row r="120" spans="1:8" x14ac:dyDescent="0.25">
      <c r="A120" s="100" t="s">
        <v>106</v>
      </c>
      <c r="B120" s="100"/>
      <c r="C120" s="100"/>
      <c r="D120" s="100"/>
      <c r="E120" s="100"/>
      <c r="F120" s="100"/>
      <c r="G120" s="100"/>
      <c r="H120" s="100"/>
    </row>
    <row r="121" spans="1:8" x14ac:dyDescent="0.25">
      <c r="B121" s="12"/>
    </row>
    <row r="122" spans="1:8" x14ac:dyDescent="0.25">
      <c r="B122" s="12"/>
    </row>
    <row r="123" spans="1:8" x14ac:dyDescent="0.25">
      <c r="A123" s="31" t="s">
        <v>158</v>
      </c>
      <c r="B123" s="12"/>
    </row>
    <row r="126" spans="1:8" x14ac:dyDescent="0.25">
      <c r="A126" s="14"/>
      <c r="B126" s="14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</sheetData>
  <mergeCells count="14">
    <mergeCell ref="A113:H113"/>
    <mergeCell ref="A112:H112"/>
    <mergeCell ref="A111:H111"/>
    <mergeCell ref="A110:H110"/>
    <mergeCell ref="A120:H120"/>
    <mergeCell ref="A105:H105"/>
    <mergeCell ref="A108:H108"/>
    <mergeCell ref="A109:H109"/>
    <mergeCell ref="A119:H119"/>
    <mergeCell ref="A118:H118"/>
    <mergeCell ref="A117:H117"/>
    <mergeCell ref="A116:H116"/>
    <mergeCell ref="A115:H115"/>
    <mergeCell ref="A114:H114"/>
  </mergeCells>
  <pageMargins left="0.22" right="0.16" top="0.32" bottom="0.19" header="0.31496062992125984" footer="0.17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ELTSA</vt:lpstr>
      <vt:lpstr>MISA</vt:lpstr>
      <vt:lpstr>Tammsaare</vt:lpstr>
      <vt:lpstr>Draama</vt:lpstr>
      <vt:lpstr>EFK</vt:lpstr>
      <vt:lpstr>EFI</vt:lpstr>
      <vt:lpstr>EK</vt:lpstr>
      <vt:lpstr>ERSO</vt:lpstr>
      <vt:lpstr>ETHM</vt:lpstr>
      <vt:lpstr>EVM</vt:lpstr>
      <vt:lpstr>Endla</vt:lpstr>
      <vt:lpstr>HLM</vt:lpstr>
      <vt:lpstr>HiiumaaM</vt:lpstr>
      <vt:lpstr>Jõulumäe</vt:lpstr>
      <vt:lpstr>Kultuurileht</vt:lpstr>
      <vt:lpstr>Narva kirik</vt:lpstr>
      <vt:lpstr>NarvaM</vt:lpstr>
      <vt:lpstr>NUKU</vt:lpstr>
      <vt:lpstr>PärnuM</vt:lpstr>
      <vt:lpstr>Rakvere</vt:lpstr>
      <vt:lpstr>Tartu Jaani kirik</vt:lpstr>
      <vt:lpstr>NO99</vt:lpstr>
      <vt:lpstr>Vanemuine</vt:lpstr>
      <vt:lpstr>Tehvandi</vt:lpstr>
      <vt:lpstr>Ugala</vt:lpstr>
      <vt:lpstr>UNESCO</vt:lpstr>
      <vt:lpstr>VanalinnaTM</vt:lpstr>
      <vt:lpstr>VeneT</vt:lpstr>
      <vt:lpstr>VirumaaM</vt:lpstr>
      <vt:lpstr>Jõulumäe!Print_Area</vt:lpstr>
    </vt:vector>
  </TitlesOfParts>
  <Company>RMIT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margus.taht</dc:creator>
  <cp:lastModifiedBy>erle.toiger</cp:lastModifiedBy>
  <cp:lastPrinted>2016-05-03T07:45:23Z</cp:lastPrinted>
  <dcterms:created xsi:type="dcterms:W3CDTF">2015-12-21T07:49:32Z</dcterms:created>
  <dcterms:modified xsi:type="dcterms:W3CDTF">2016-06-14T06:57:09Z</dcterms:modified>
</cp:coreProperties>
</file>